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96" windowWidth="20376" windowHeight="11532" firstSheet="1" activeTab="1"/>
  </bookViews>
  <sheets>
    <sheet name="Sheet1" sheetId="1" state="hidden" r:id="rId1"/>
    <sheet name="Premier's Office August 2016" sheetId="2" r:id="rId2"/>
  </sheets>
  <definedNames>
    <definedName name="_xlnm.Print_Area" localSheetId="1">'Premier''s Office August 2016'!$A$1:$C$31</definedName>
    <definedName name="_xlnm.Print_Area" localSheetId="0">'Sheet1'!$A$1:$AH$54</definedName>
  </definedNames>
  <calcPr fullCalcOnLoad="1"/>
</workbook>
</file>

<file path=xl/sharedStrings.xml><?xml version="1.0" encoding="utf-8"?>
<sst xmlns="http://schemas.openxmlformats.org/spreadsheetml/2006/main" count="219" uniqueCount="187">
  <si>
    <t>Name</t>
  </si>
  <si>
    <t>PCN</t>
  </si>
  <si>
    <t>Active class description</t>
  </si>
  <si>
    <t>Pay Level</t>
  </si>
  <si>
    <t>PP-25    Dec 4/12</t>
  </si>
  <si>
    <t>PP-8       Apr 10/13</t>
  </si>
  <si>
    <t>PP-9    Apr 24/13</t>
  </si>
  <si>
    <t>PP-10    May 8/13</t>
  </si>
  <si>
    <t>PP-11    May 22/13</t>
  </si>
  <si>
    <t>PP-12    Jun 5/13</t>
  </si>
  <si>
    <t>PP-13    Jun 19/13</t>
  </si>
  <si>
    <t>PP-14    Jul 3/13</t>
  </si>
  <si>
    <t>PP-15    Jul 17/13</t>
  </si>
  <si>
    <t>PP-16    Jul 31/13</t>
  </si>
  <si>
    <t>PP-17    Aug 14/13</t>
  </si>
  <si>
    <t>PP-18    Aug 28/13</t>
  </si>
  <si>
    <t>PP-19    Sep 11/13</t>
  </si>
  <si>
    <t>PP-20    Sep 25/13</t>
  </si>
  <si>
    <t>PP-21     Oct 9/13</t>
  </si>
  <si>
    <t>PP-22    Oct 23/13</t>
  </si>
  <si>
    <t>PP-23    Nov 6/13</t>
  </si>
  <si>
    <t>PP-24    Nov 20/1</t>
  </si>
  <si>
    <t>PP-26     Dec 18/13</t>
  </si>
  <si>
    <t>PP-1       Jan 1/14</t>
  </si>
  <si>
    <t>PP-2       Jan 15/14</t>
  </si>
  <si>
    <t>PP-3       Jan 29/14</t>
  </si>
  <si>
    <t>PP-4       Feb 12/14</t>
  </si>
  <si>
    <t>PP-5      Feb 26/14</t>
  </si>
  <si>
    <t>PP-6       Mar 12/14</t>
  </si>
  <si>
    <t>PP-7       Mar 26/14</t>
  </si>
  <si>
    <t>Salary Projected for Remainder of 13/14</t>
  </si>
  <si>
    <t>Afonso,Maria E</t>
  </si>
  <si>
    <t>Brown,Milly</t>
  </si>
  <si>
    <t>Byrne,Mary</t>
  </si>
  <si>
    <t>Carroll,Lynette S</t>
  </si>
  <si>
    <t>Dunderdale,Kathy</t>
  </si>
  <si>
    <t>Evans,Catherine</t>
  </si>
  <si>
    <t>Hull,Chantelle</t>
  </si>
  <si>
    <t>King,Denise</t>
  </si>
  <si>
    <t>Mccrate,Doreen</t>
  </si>
  <si>
    <t>Paddock,Jeffrey P</t>
  </si>
  <si>
    <t>Patten,Kim</t>
  </si>
  <si>
    <t>Rideout,Derrick</t>
  </si>
  <si>
    <t>Sheahan,Elizabeth T</t>
  </si>
  <si>
    <t>Taylor,Brian W</t>
  </si>
  <si>
    <t>Wadden,Kathleen M</t>
  </si>
  <si>
    <t>Executive Asst</t>
  </si>
  <si>
    <t>Special Asst Communic</t>
  </si>
  <si>
    <t>Personal Asst to Premier</t>
  </si>
  <si>
    <t>Deputy Chief of Staff</t>
  </si>
  <si>
    <t>Parliamentary Asst to Premier</t>
  </si>
  <si>
    <t>Premier</t>
  </si>
  <si>
    <t>Receptionist</t>
  </si>
  <si>
    <t>Director of Policy</t>
  </si>
  <si>
    <t>Sec to Parliamentary Assis</t>
  </si>
  <si>
    <t>Office Manager</t>
  </si>
  <si>
    <t>Special Advisor to Premier</t>
  </si>
  <si>
    <t>Assoc. Deputy Chief of Staff</t>
  </si>
  <si>
    <t>Contractual</t>
  </si>
  <si>
    <t>Chief of Staff</t>
  </si>
  <si>
    <t>PS  10  03</t>
  </si>
  <si>
    <t>00374</t>
  </si>
  <si>
    <t>PS  08  05</t>
  </si>
  <si>
    <t>00372</t>
  </si>
  <si>
    <t>08782</t>
  </si>
  <si>
    <t>09091</t>
  </si>
  <si>
    <t>00  00  00</t>
  </si>
  <si>
    <t>PS  07  02</t>
  </si>
  <si>
    <t>Administrative Assistant</t>
  </si>
  <si>
    <t>02449</t>
  </si>
  <si>
    <t>PS  07  06</t>
  </si>
  <si>
    <t>PS  10  09</t>
  </si>
  <si>
    <t>08785</t>
  </si>
  <si>
    <t>PS  09  09</t>
  </si>
  <si>
    <t>08789</t>
  </si>
  <si>
    <t>PS  12  03</t>
  </si>
  <si>
    <t>02446</t>
  </si>
  <si>
    <t>09092</t>
  </si>
  <si>
    <t>00371</t>
  </si>
  <si>
    <t>PS  04  16</t>
  </si>
  <si>
    <t>08781</t>
  </si>
  <si>
    <t>Director of Communications</t>
  </si>
  <si>
    <t>00373</t>
  </si>
  <si>
    <t>Press Secretary</t>
  </si>
  <si>
    <t>12728</t>
  </si>
  <si>
    <t>Balance as of June 19, 2013</t>
  </si>
  <si>
    <t>Premier's Office Salary Projections for 2013-14</t>
  </si>
  <si>
    <t>Less:  Projected to year end</t>
  </si>
  <si>
    <t xml:space="preserve"> Budget for 2013-14</t>
  </si>
  <si>
    <t xml:space="preserve">Annual Salary </t>
  </si>
  <si>
    <t>Bi-weekly</t>
  </si>
  <si>
    <t>Total</t>
  </si>
  <si>
    <t>Budget for  2013/14:</t>
  </si>
  <si>
    <t>Balance:</t>
  </si>
  <si>
    <t>Salary Expended to date</t>
  </si>
  <si>
    <t>Less: Salary Projected for Remainder of Year:</t>
  </si>
  <si>
    <t>Tulk, Jennifer</t>
  </si>
  <si>
    <t>PS  10  01</t>
  </si>
  <si>
    <t>Boland, Tracy</t>
  </si>
  <si>
    <t>Less: Salary Expended to Date:</t>
  </si>
  <si>
    <t xml:space="preserve"> </t>
  </si>
  <si>
    <t>Reid, Ross</t>
  </si>
  <si>
    <t>PS  12  09</t>
  </si>
  <si>
    <t>Marshall, Tom</t>
  </si>
  <si>
    <t>Hedderson, Tom</t>
  </si>
  <si>
    <t>PS  09  08</t>
  </si>
  <si>
    <t>Morrissey, Jody</t>
  </si>
  <si>
    <t>PS  04  25</t>
  </si>
  <si>
    <t>Forude, Ian</t>
  </si>
  <si>
    <t>O'Neill, Lorna</t>
  </si>
  <si>
    <t>Vacant</t>
  </si>
  <si>
    <t>Constituency Assistant</t>
  </si>
  <si>
    <t>PS  04  19</t>
  </si>
  <si>
    <t>Transferrred from the severance pot</t>
  </si>
  <si>
    <t>Less: Severance to be paid for M. Byrne</t>
  </si>
  <si>
    <t>Less: Severance to be paid for M. Afonso</t>
  </si>
  <si>
    <t>Payne, Denise</t>
  </si>
  <si>
    <t>PS  06  02</t>
  </si>
  <si>
    <t>PS  09  06</t>
  </si>
  <si>
    <t>Revised Budget 2013/14:</t>
  </si>
  <si>
    <t>Sec to Chief of Staff</t>
  </si>
  <si>
    <t>PS  07  07</t>
  </si>
  <si>
    <t>PS  04  07</t>
  </si>
  <si>
    <t>PS  02  13</t>
  </si>
  <si>
    <t>PS  07  04</t>
  </si>
  <si>
    <t>assume start date of February 10, 2014</t>
  </si>
  <si>
    <t>PS  08  01</t>
  </si>
  <si>
    <t>last day: February 7</t>
  </si>
  <si>
    <t>Start February 11, 2014 (step February 19)</t>
  </si>
  <si>
    <t>March 3 return from ML</t>
  </si>
  <si>
    <t>VACANT</t>
  </si>
  <si>
    <t>Special Assistant (Operations)</t>
  </si>
  <si>
    <t>Special Assistant (Communications)</t>
  </si>
  <si>
    <t>PS  10  07</t>
  </si>
  <si>
    <t>Wells, Lary</t>
  </si>
  <si>
    <t>Former Premier entitlement</t>
  </si>
  <si>
    <t>JV's for salary recoveries charged in error</t>
  </si>
  <si>
    <t>Severance entitlement</t>
  </si>
  <si>
    <t>BT</t>
  </si>
  <si>
    <t>MB</t>
  </si>
  <si>
    <t>MA</t>
  </si>
  <si>
    <t>Balance available</t>
  </si>
  <si>
    <t>Final Projected Revised</t>
  </si>
  <si>
    <t>Budget 2013-14</t>
  </si>
  <si>
    <t>Over Budget</t>
  </si>
  <si>
    <t>Actuals to Date - February 12, 2014</t>
  </si>
  <si>
    <t>10 day Paid Leave payout for K. Evans</t>
  </si>
  <si>
    <t>Extra Salary expenditures anticipated for reclassification (L Wells)</t>
  </si>
  <si>
    <t>PS  06  08</t>
  </si>
  <si>
    <t>KD</t>
  </si>
  <si>
    <t>Already Recovered</t>
  </si>
  <si>
    <t>Executive Assistant</t>
  </si>
  <si>
    <t>Personal Assistant to Premier</t>
  </si>
  <si>
    <t>Executive Assistant (Corner Brook)</t>
  </si>
  <si>
    <t>Administrative Assistant (Corner Brook)</t>
  </si>
  <si>
    <t>Parliamentary Assistant to Premier</t>
  </si>
  <si>
    <t>Position Title</t>
  </si>
  <si>
    <t>Dwight Ball</t>
  </si>
  <si>
    <t>Salary</t>
  </si>
  <si>
    <t>Peter Miles</t>
  </si>
  <si>
    <t>Jeanette Fleming</t>
  </si>
  <si>
    <t>Joy Buckle</t>
  </si>
  <si>
    <t>Senior Economic Policy Advisor</t>
  </si>
  <si>
    <t>Senior Social Policy Advisor</t>
  </si>
  <si>
    <t>Rodney Mercer</t>
  </si>
  <si>
    <t>Virgina Connors</t>
  </si>
  <si>
    <t>Director of information Management</t>
  </si>
  <si>
    <t>Mark Browne</t>
  </si>
  <si>
    <t>Jason Young</t>
  </si>
  <si>
    <t>Kala Noel</t>
  </si>
  <si>
    <t>Lisa Snow</t>
  </si>
  <si>
    <t>Dana English</t>
  </si>
  <si>
    <t xml:space="preserve">Research and Policy Analyst </t>
  </si>
  <si>
    <t>Secretary to the Premier</t>
  </si>
  <si>
    <t>Joanne Young</t>
  </si>
  <si>
    <t>Information Management Specialist</t>
  </si>
  <si>
    <t>Gregory Mercer</t>
  </si>
  <si>
    <t>Michelle Cannizzaro</t>
  </si>
  <si>
    <t>Media Relations Manager</t>
  </si>
  <si>
    <t>Edna Roberts</t>
  </si>
  <si>
    <t>Jillian Hood</t>
  </si>
  <si>
    <t>Content Manager</t>
  </si>
  <si>
    <t>Kerry Chaytor</t>
  </si>
  <si>
    <t>Effective August 12, 2016</t>
  </si>
  <si>
    <t>Office of the Premier</t>
  </si>
  <si>
    <t>Andrew Caddell (Aug. 25)</t>
  </si>
  <si>
    <t>Secretary to Chief of Staff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</si>
</sst>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\(#,##0.00\)"/>
    <numFmt numFmtId="165" formatCode="#,##0.00_ ;\-#,##0.00\ "/>
    <numFmt numFmtId="166" formatCode="#,##0_ ;[Red]\-#,##0\ "/>
    <numFmt numFmtId="167" formatCode="#,##0.00_ ;[Red]\-#,##0.00\ "/>
    <numFmt numFmtId="168" formatCode="#,##0.0000_ ;[Red]\-#,##0.0000\ "/>
    <numFmt numFmtId="169" formatCode="_(* #,##0.0_);_(* \(#,##0.0\);_(* &quot;-&quot;??_);_(@_)"/>
    <numFmt numFmtId="170" formatCode="_(* #,##0_);_(* \(#,##0\);_(* &quot;-&quot;??_);_(@_)"/>
    <numFmt numFmtId="171" formatCode="#,##0;[Red]\(#,##0\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#,##0.0"/>
    <numFmt numFmtId="175" formatCode="&quot;$&quot;#,##0.00"/>
    <numFmt numFmtId="176" formatCode="&quot;$&quot;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Dialog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3" borderId="10" xfId="55" applyFont="1" applyFill="1" applyBorder="1" applyAlignment="1">
      <alignment horizontal="center" vertical="center" shrinkToFit="1"/>
      <protection/>
    </xf>
    <xf numFmtId="49" fontId="3" fillId="33" borderId="10" xfId="55" applyNumberFormat="1" applyFont="1" applyFill="1" applyBorder="1" applyAlignment="1">
      <alignment horizontal="center" vertical="center" shrinkToFit="1"/>
      <protection/>
    </xf>
    <xf numFmtId="0" fontId="3" fillId="34" borderId="10" xfId="55" applyFont="1" applyFill="1" applyBorder="1" applyAlignment="1">
      <alignment horizontal="center" vertical="center" wrapText="1"/>
      <protection/>
    </xf>
    <xf numFmtId="164" fontId="3" fillId="34" borderId="10" xfId="55" applyNumberFormat="1" applyFont="1" applyFill="1" applyBorder="1" applyAlignment="1">
      <alignment horizontal="center" vertical="center" wrapText="1"/>
      <protection/>
    </xf>
    <xf numFmtId="0" fontId="4" fillId="34" borderId="10" xfId="55" applyFont="1" applyFill="1" applyBorder="1" applyAlignment="1">
      <alignment horizontal="center" vertical="center" wrapText="1"/>
      <protection/>
    </xf>
    <xf numFmtId="0" fontId="4" fillId="35" borderId="10" xfId="55" applyFont="1" applyFill="1" applyBorder="1" applyAlignment="1">
      <alignment horizontal="center" vertical="center" wrapText="1"/>
      <protection/>
    </xf>
    <xf numFmtId="0" fontId="4" fillId="36" borderId="10" xfId="55" applyFont="1" applyFill="1" applyBorder="1" applyAlignment="1">
      <alignment horizontal="center" wrapText="1"/>
      <protection/>
    </xf>
    <xf numFmtId="0" fontId="2" fillId="0" borderId="0" xfId="55" applyFill="1" applyBorder="1">
      <alignment/>
      <protection/>
    </xf>
    <xf numFmtId="0" fontId="40" fillId="0" borderId="0" xfId="0" applyFont="1" applyAlignment="1">
      <alignment horizontal="right"/>
    </xf>
    <xf numFmtId="170" fontId="42" fillId="37" borderId="11" xfId="42" applyNumberFormat="1" applyFont="1" applyFill="1" applyBorder="1" applyAlignment="1">
      <alignment horizontal="left" vertical="top" wrapText="1" indent="1"/>
    </xf>
    <xf numFmtId="170" fontId="40" fillId="0" borderId="0" xfId="0" applyNumberFormat="1" applyFont="1" applyAlignment="1">
      <alignment/>
    </xf>
    <xf numFmtId="0" fontId="40" fillId="0" borderId="0" xfId="0" applyFont="1" applyAlignment="1">
      <alignment/>
    </xf>
    <xf numFmtId="170" fontId="0" fillId="0" borderId="0" xfId="42" applyNumberFormat="1" applyFont="1" applyAlignment="1">
      <alignment/>
    </xf>
    <xf numFmtId="170" fontId="2" fillId="0" borderId="0" xfId="42" applyNumberFormat="1" applyFont="1" applyFill="1" applyBorder="1" applyAlignment="1">
      <alignment/>
    </xf>
    <xf numFmtId="170" fontId="40" fillId="0" borderId="0" xfId="42" applyNumberFormat="1" applyFont="1" applyAlignment="1">
      <alignment/>
    </xf>
    <xf numFmtId="173" fontId="40" fillId="0" borderId="0" xfId="44" applyNumberFormat="1" applyFont="1" applyAlignment="1">
      <alignment/>
    </xf>
    <xf numFmtId="0" fontId="43" fillId="0" borderId="0" xfId="0" applyFont="1" applyAlignment="1">
      <alignment/>
    </xf>
    <xf numFmtId="173" fontId="40" fillId="0" borderId="12" xfId="44" applyNumberFormat="1" applyFont="1" applyBorder="1" applyAlignment="1">
      <alignment/>
    </xf>
    <xf numFmtId="0" fontId="42" fillId="38" borderId="11" xfId="0" applyFont="1" applyFill="1" applyBorder="1" applyAlignment="1">
      <alignment horizontal="left" vertical="top" wrapText="1" indent="1"/>
    </xf>
    <xf numFmtId="0" fontId="42" fillId="38" borderId="11" xfId="0" applyFont="1" applyFill="1" applyBorder="1" applyAlignment="1" quotePrefix="1">
      <alignment horizontal="left" vertical="top" wrapText="1" indent="1"/>
    </xf>
    <xf numFmtId="170" fontId="42" fillId="38" borderId="11" xfId="42" applyNumberFormat="1" applyFont="1" applyFill="1" applyBorder="1" applyAlignment="1">
      <alignment horizontal="left" vertical="top" wrapText="1" indent="1"/>
    </xf>
    <xf numFmtId="0" fontId="42" fillId="0" borderId="11" xfId="0" applyFont="1" applyFill="1" applyBorder="1" applyAlignment="1">
      <alignment horizontal="left" vertical="top" wrapText="1" indent="1"/>
    </xf>
    <xf numFmtId="0" fontId="42" fillId="0" borderId="11" xfId="0" applyFont="1" applyFill="1" applyBorder="1" applyAlignment="1" quotePrefix="1">
      <alignment horizontal="left" vertical="top" wrapText="1" indent="1"/>
    </xf>
    <xf numFmtId="170" fontId="42" fillId="0" borderId="11" xfId="42" applyNumberFormat="1" applyFont="1" applyFill="1" applyBorder="1" applyAlignment="1">
      <alignment horizontal="left" vertical="top" wrapText="1" indent="1"/>
    </xf>
    <xf numFmtId="173" fontId="40" fillId="0" borderId="12" xfId="0" applyNumberFormat="1" applyFont="1" applyBorder="1" applyAlignment="1">
      <alignment/>
    </xf>
    <xf numFmtId="43" fontId="0" fillId="0" borderId="0" xfId="0" applyNumberFormat="1" applyAlignment="1">
      <alignment/>
    </xf>
    <xf numFmtId="170" fontId="40" fillId="39" borderId="10" xfId="0" applyNumberFormat="1" applyFont="1" applyFill="1" applyBorder="1" applyAlignment="1">
      <alignment/>
    </xf>
    <xf numFmtId="0" fontId="0" fillId="39" borderId="0" xfId="0" applyFill="1" applyAlignment="1">
      <alignment/>
    </xf>
    <xf numFmtId="4" fontId="0" fillId="0" borderId="0" xfId="0" applyNumberFormat="1" applyAlignment="1">
      <alignment/>
    </xf>
    <xf numFmtId="0" fontId="0" fillId="40" borderId="0" xfId="0" applyFill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right"/>
    </xf>
    <xf numFmtId="173" fontId="40" fillId="0" borderId="13" xfId="44" applyNumberFormat="1" applyFont="1" applyBorder="1" applyAlignment="1">
      <alignment/>
    </xf>
    <xf numFmtId="170" fontId="4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70" fontId="40" fillId="0" borderId="0" xfId="0" applyNumberFormat="1" applyFont="1" applyAlignment="1">
      <alignment horizontal="right"/>
    </xf>
    <xf numFmtId="0" fontId="42" fillId="9" borderId="11" xfId="0" applyFont="1" applyFill="1" applyBorder="1" applyAlignment="1">
      <alignment horizontal="left" vertical="top" wrapText="1" indent="1"/>
    </xf>
    <xf numFmtId="170" fontId="42" fillId="9" borderId="11" xfId="42" applyNumberFormat="1" applyFont="1" applyFill="1" applyBorder="1" applyAlignment="1">
      <alignment horizontal="left" vertical="top" wrapText="1" indent="1"/>
    </xf>
    <xf numFmtId="170" fontId="0" fillId="0" borderId="0" xfId="0" applyNumberFormat="1" applyAlignment="1">
      <alignment/>
    </xf>
    <xf numFmtId="0" fontId="42" fillId="9" borderId="11" xfId="0" applyFont="1" applyFill="1" applyBorder="1" applyAlignment="1" quotePrefix="1">
      <alignment horizontal="left" vertical="top" wrapText="1" indent="1"/>
    </xf>
    <xf numFmtId="3" fontId="40" fillId="9" borderId="0" xfId="0" applyNumberFormat="1" applyFont="1" applyFill="1" applyAlignment="1">
      <alignment horizontal="right"/>
    </xf>
    <xf numFmtId="170" fontId="0" fillId="0" borderId="13" xfId="42" applyNumberFormat="1" applyFont="1" applyBorder="1" applyAlignment="1">
      <alignment/>
    </xf>
    <xf numFmtId="0" fontId="0" fillId="0" borderId="14" xfId="0" applyBorder="1" applyAlignment="1">
      <alignment/>
    </xf>
    <xf numFmtId="170" fontId="0" fillId="0" borderId="15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0" fontId="0" fillId="0" borderId="0" xfId="42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170" fontId="0" fillId="0" borderId="13" xfId="0" applyNumberFormat="1" applyBorder="1" applyAlignment="1">
      <alignment/>
    </xf>
    <xf numFmtId="0" fontId="0" fillId="0" borderId="20" xfId="0" applyBorder="1" applyAlignment="1">
      <alignment/>
    </xf>
    <xf numFmtId="170" fontId="40" fillId="9" borderId="0" xfId="0" applyNumberFormat="1" applyFont="1" applyFill="1" applyBorder="1" applyAlignment="1">
      <alignment/>
    </xf>
    <xf numFmtId="170" fontId="0" fillId="41" borderId="13" xfId="42" applyNumberFormat="1" applyFont="1" applyFill="1" applyBorder="1" applyAlignment="1">
      <alignment/>
    </xf>
    <xf numFmtId="170" fontId="40" fillId="41" borderId="0" xfId="0" applyNumberFormat="1" applyFont="1" applyFill="1" applyBorder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4" fillId="0" borderId="0" xfId="0" applyFont="1" applyAlignment="1">
      <alignment/>
    </xf>
    <xf numFmtId="0" fontId="42" fillId="0" borderId="10" xfId="0" applyFont="1" applyFill="1" applyBorder="1" applyAlignment="1">
      <alignment horizontal="left" vertical="top" wrapText="1" indent="1"/>
    </xf>
    <xf numFmtId="0" fontId="24" fillId="0" borderId="10" xfId="0" applyFont="1" applyFill="1" applyBorder="1" applyAlignment="1">
      <alignment horizontal="left" vertical="top" wrapText="1" indent="1"/>
    </xf>
    <xf numFmtId="0" fontId="25" fillId="0" borderId="0" xfId="0" applyFont="1" applyFill="1" applyBorder="1" applyAlignment="1">
      <alignment horizontal="left" vertical="top" wrapText="1" indent="1"/>
    </xf>
    <xf numFmtId="0" fontId="24" fillId="42" borderId="10" xfId="0" applyFont="1" applyFill="1" applyBorder="1" applyAlignment="1">
      <alignment horizontal="left" vertical="top" wrapText="1" indent="1"/>
    </xf>
    <xf numFmtId="176" fontId="42" fillId="0" borderId="10" xfId="42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/>
    </xf>
    <xf numFmtId="176" fontId="42" fillId="0" borderId="10" xfId="42" applyNumberFormat="1" applyFont="1" applyFill="1" applyBorder="1" applyAlignment="1">
      <alignment horizontal="center" vertical="top" wrapText="1"/>
    </xf>
    <xf numFmtId="0" fontId="3" fillId="43" borderId="10" xfId="55" applyFont="1" applyFill="1" applyBorder="1" applyAlignment="1">
      <alignment horizontal="center" vertical="center" shrinkToFit="1"/>
      <protection/>
    </xf>
    <xf numFmtId="0" fontId="3" fillId="43" borderId="10" xfId="55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revor_ocio_salarie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63"/>
  <sheetViews>
    <sheetView workbookViewId="0" topLeftCell="A2">
      <selection activeCell="B42" sqref="B42"/>
    </sheetView>
  </sheetViews>
  <sheetFormatPr defaultColWidth="9.140625" defaultRowHeight="15"/>
  <cols>
    <col min="1" max="1" width="21.57421875" style="0" customWidth="1"/>
    <col min="2" max="2" width="13.00390625" style="0" customWidth="1"/>
    <col min="3" max="3" width="11.421875" style="0" customWidth="1"/>
    <col min="4" max="4" width="11.00390625" style="0" customWidth="1"/>
    <col min="5" max="5" width="29.7109375" style="0" bestFit="1" customWidth="1"/>
    <col min="6" max="6" width="10.00390625" style="0" bestFit="1" customWidth="1"/>
    <col min="7" max="8" width="8.140625" style="0" hidden="1" customWidth="1"/>
    <col min="9" max="11" width="7.57421875" style="0" hidden="1" customWidth="1"/>
    <col min="12" max="12" width="8.140625" style="0" hidden="1" customWidth="1"/>
    <col min="13" max="15" width="7.57421875" style="0" hidden="1" customWidth="1"/>
    <col min="16" max="16" width="13.421875" style="0" hidden="1" customWidth="1"/>
    <col min="17" max="29" width="8.7109375" style="0" hidden="1" customWidth="1"/>
    <col min="30" max="30" width="10.7109375" style="0" customWidth="1"/>
    <col min="31" max="32" width="8.7109375" style="0" customWidth="1"/>
    <col min="33" max="33" width="0.85546875" style="0" hidden="1" customWidth="1"/>
    <col min="34" max="34" width="14.421875" style="0" bestFit="1" customWidth="1"/>
    <col min="35" max="35" width="15.7109375" style="13" hidden="1" customWidth="1"/>
    <col min="36" max="36" width="11.8515625" style="0" hidden="1" customWidth="1"/>
    <col min="37" max="38" width="0" style="0" hidden="1" customWidth="1"/>
    <col min="42" max="42" width="28.140625" style="0" customWidth="1"/>
  </cols>
  <sheetData>
    <row r="2" spans="35:36" ht="14.25">
      <c r="AI2" s="16">
        <v>1607300</v>
      </c>
      <c r="AJ2" s="12" t="s">
        <v>88</v>
      </c>
    </row>
    <row r="3" spans="1:39" ht="24" customHeight="1">
      <c r="A3" s="17" t="s">
        <v>86</v>
      </c>
      <c r="AI3" s="15">
        <v>300907</v>
      </c>
      <c r="AJ3" s="68"/>
      <c r="AK3" s="68"/>
      <c r="AL3" s="68"/>
      <c r="AM3" s="68"/>
    </row>
    <row r="4" spans="34:39" ht="14.25">
      <c r="AH4" s="9"/>
      <c r="AJ4" s="68"/>
      <c r="AK4" s="68"/>
      <c r="AL4" s="68"/>
      <c r="AM4" s="68"/>
    </row>
    <row r="5" spans="32:34" ht="14.25">
      <c r="AF5" s="32" t="s">
        <v>145</v>
      </c>
      <c r="AH5" s="41">
        <v>1622979.24</v>
      </c>
    </row>
    <row r="7" spans="7:15" ht="14.25">
      <c r="G7" s="30"/>
      <c r="H7" s="30"/>
      <c r="I7" s="30"/>
      <c r="J7" s="30"/>
      <c r="K7" s="30"/>
      <c r="L7" s="30"/>
      <c r="N7" s="30"/>
      <c r="O7" s="30"/>
    </row>
    <row r="8" spans="1:35" s="8" customFormat="1" ht="61.5" customHeight="1">
      <c r="A8" s="1" t="s">
        <v>0</v>
      </c>
      <c r="B8" s="2" t="s">
        <v>1</v>
      </c>
      <c r="C8" s="3" t="s">
        <v>89</v>
      </c>
      <c r="D8" s="4" t="s">
        <v>90</v>
      </c>
      <c r="E8" s="3" t="s">
        <v>2</v>
      </c>
      <c r="F8" s="3" t="s">
        <v>3</v>
      </c>
      <c r="G8" s="5" t="s">
        <v>5</v>
      </c>
      <c r="H8" s="5" t="s">
        <v>6</v>
      </c>
      <c r="I8" s="5" t="s">
        <v>7</v>
      </c>
      <c r="J8" s="5" t="s">
        <v>8</v>
      </c>
      <c r="K8" s="5" t="s">
        <v>9</v>
      </c>
      <c r="L8" s="5" t="s">
        <v>10</v>
      </c>
      <c r="M8" s="6" t="s">
        <v>11</v>
      </c>
      <c r="N8" s="5" t="s">
        <v>12</v>
      </c>
      <c r="O8" s="5" t="s">
        <v>13</v>
      </c>
      <c r="P8" s="5" t="s">
        <v>14</v>
      </c>
      <c r="Q8" s="5" t="s">
        <v>15</v>
      </c>
      <c r="R8" s="5" t="s">
        <v>16</v>
      </c>
      <c r="S8" s="5" t="s">
        <v>17</v>
      </c>
      <c r="T8" s="5" t="s">
        <v>18</v>
      </c>
      <c r="U8" s="5" t="s">
        <v>19</v>
      </c>
      <c r="V8" s="5" t="s">
        <v>20</v>
      </c>
      <c r="W8" s="5" t="s">
        <v>21</v>
      </c>
      <c r="X8" s="5" t="s">
        <v>4</v>
      </c>
      <c r="Y8" s="5" t="s">
        <v>22</v>
      </c>
      <c r="Z8" s="5" t="s">
        <v>23</v>
      </c>
      <c r="AA8" s="5" t="s">
        <v>24</v>
      </c>
      <c r="AB8" s="5" t="s">
        <v>25</v>
      </c>
      <c r="AC8" s="5" t="s">
        <v>26</v>
      </c>
      <c r="AD8" s="5" t="s">
        <v>27</v>
      </c>
      <c r="AE8" s="5" t="s">
        <v>28</v>
      </c>
      <c r="AF8" s="5" t="s">
        <v>29</v>
      </c>
      <c r="AG8" s="7" t="s">
        <v>94</v>
      </c>
      <c r="AH8" s="7" t="s">
        <v>30</v>
      </c>
      <c r="AI8" s="14"/>
    </row>
    <row r="9" spans="1:34" ht="27">
      <c r="A9" s="19" t="s">
        <v>103</v>
      </c>
      <c r="B9" s="20" t="s">
        <v>65</v>
      </c>
      <c r="C9" s="21">
        <v>72409</v>
      </c>
      <c r="D9" s="21">
        <f aca="true" t="shared" si="0" ref="D9:D27">C9/26</f>
        <v>2784.9615384615386</v>
      </c>
      <c r="E9" s="19" t="s">
        <v>51</v>
      </c>
      <c r="F9" s="19" t="s">
        <v>66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>
        <f>+AB10</f>
        <v>2784.9615384615386</v>
      </c>
      <c r="AD9" s="21">
        <f>+AC9</f>
        <v>2784.9615384615386</v>
      </c>
      <c r="AE9" s="21">
        <f>+AD9</f>
        <v>2784.9615384615386</v>
      </c>
      <c r="AF9" s="21">
        <f>+AE9</f>
        <v>2784.9615384615386</v>
      </c>
      <c r="AG9" s="21">
        <f>SUM(G9:P9)</f>
        <v>0</v>
      </c>
      <c r="AH9" s="21">
        <f>SUM(AD9:AF9)</f>
        <v>8354.884615384615</v>
      </c>
    </row>
    <row r="10" spans="1:34" ht="27" hidden="1">
      <c r="A10" s="19" t="s">
        <v>35</v>
      </c>
      <c r="B10" s="20" t="s">
        <v>65</v>
      </c>
      <c r="C10" s="21">
        <v>72409</v>
      </c>
      <c r="D10" s="10">
        <f t="shared" si="0"/>
        <v>2784.9615384615386</v>
      </c>
      <c r="E10" s="19" t="s">
        <v>51</v>
      </c>
      <c r="F10" s="19" t="s">
        <v>66</v>
      </c>
      <c r="G10" s="21">
        <f>+D10</f>
        <v>2784.9615384615386</v>
      </c>
      <c r="H10" s="21">
        <f aca="true" t="shared" si="1" ref="H10:AF10">+G10</f>
        <v>2784.9615384615386</v>
      </c>
      <c r="I10" s="21">
        <f t="shared" si="1"/>
        <v>2784.9615384615386</v>
      </c>
      <c r="J10" s="21">
        <f t="shared" si="1"/>
        <v>2784.9615384615386</v>
      </c>
      <c r="K10" s="21">
        <f t="shared" si="1"/>
        <v>2784.9615384615386</v>
      </c>
      <c r="L10" s="21">
        <f t="shared" si="1"/>
        <v>2784.9615384615386</v>
      </c>
      <c r="M10" s="21">
        <f t="shared" si="1"/>
        <v>2784.9615384615386</v>
      </c>
      <c r="N10" s="21">
        <f t="shared" si="1"/>
        <v>2784.9615384615386</v>
      </c>
      <c r="O10" s="21">
        <f t="shared" si="1"/>
        <v>2784.9615384615386</v>
      </c>
      <c r="P10" s="21">
        <f t="shared" si="1"/>
        <v>2784.9615384615386</v>
      </c>
      <c r="Q10" s="21">
        <f t="shared" si="1"/>
        <v>2784.9615384615386</v>
      </c>
      <c r="R10" s="21">
        <f t="shared" si="1"/>
        <v>2784.9615384615386</v>
      </c>
      <c r="S10" s="21">
        <f t="shared" si="1"/>
        <v>2784.9615384615386</v>
      </c>
      <c r="T10" s="21">
        <f t="shared" si="1"/>
        <v>2784.9615384615386</v>
      </c>
      <c r="U10" s="21">
        <f t="shared" si="1"/>
        <v>2784.9615384615386</v>
      </c>
      <c r="V10" s="21">
        <f t="shared" si="1"/>
        <v>2784.9615384615386</v>
      </c>
      <c r="W10" s="21">
        <f t="shared" si="1"/>
        <v>2784.9615384615386</v>
      </c>
      <c r="X10" s="21">
        <f t="shared" si="1"/>
        <v>2784.9615384615386</v>
      </c>
      <c r="Y10" s="21">
        <f t="shared" si="1"/>
        <v>2784.9615384615386</v>
      </c>
      <c r="Z10" s="21">
        <f t="shared" si="1"/>
        <v>2784.9615384615386</v>
      </c>
      <c r="AA10" s="21">
        <f t="shared" si="1"/>
        <v>2784.9615384615386</v>
      </c>
      <c r="AB10" s="21">
        <f t="shared" si="1"/>
        <v>2784.9615384615386</v>
      </c>
      <c r="AC10" s="21"/>
      <c r="AD10" s="21"/>
      <c r="AE10" s="21">
        <f t="shared" si="1"/>
        <v>0</v>
      </c>
      <c r="AF10" s="21">
        <f t="shared" si="1"/>
        <v>0</v>
      </c>
      <c r="AG10" s="21">
        <f>SUM(G10:P10)</f>
        <v>27849.615384615387</v>
      </c>
      <c r="AH10" s="21">
        <f>SUM(AC10:AF10)</f>
        <v>0</v>
      </c>
    </row>
    <row r="11" spans="1:34" ht="27">
      <c r="A11" s="22" t="s">
        <v>104</v>
      </c>
      <c r="B11" s="23" t="s">
        <v>77</v>
      </c>
      <c r="C11" s="24">
        <v>27036</v>
      </c>
      <c r="D11" s="24">
        <f t="shared" si="0"/>
        <v>1039.8461538461538</v>
      </c>
      <c r="E11" s="22" t="s">
        <v>50</v>
      </c>
      <c r="F11" s="22" t="s">
        <v>66</v>
      </c>
      <c r="G11" s="24">
        <v>754.49</v>
      </c>
      <c r="H11" s="24">
        <f>+D11</f>
        <v>1039.8461538461538</v>
      </c>
      <c r="I11" s="24">
        <f aca="true" t="shared" si="2" ref="I11:AF12">+H11</f>
        <v>1039.8461538461538</v>
      </c>
      <c r="J11" s="24">
        <f t="shared" si="2"/>
        <v>1039.8461538461538</v>
      </c>
      <c r="K11" s="24">
        <f t="shared" si="2"/>
        <v>1039.8461538461538</v>
      </c>
      <c r="L11" s="24">
        <f t="shared" si="2"/>
        <v>1039.8461538461538</v>
      </c>
      <c r="M11" s="24">
        <f t="shared" si="2"/>
        <v>1039.8461538461538</v>
      </c>
      <c r="N11" s="24">
        <f t="shared" si="2"/>
        <v>1039.8461538461538</v>
      </c>
      <c r="O11" s="24">
        <f t="shared" si="2"/>
        <v>1039.8461538461538</v>
      </c>
      <c r="P11" s="24">
        <f t="shared" si="2"/>
        <v>1039.8461538461538</v>
      </c>
      <c r="Q11" s="24">
        <f t="shared" si="2"/>
        <v>1039.8461538461538</v>
      </c>
      <c r="R11" s="24">
        <f t="shared" si="2"/>
        <v>1039.8461538461538</v>
      </c>
      <c r="S11" s="24">
        <f t="shared" si="2"/>
        <v>1039.8461538461538</v>
      </c>
      <c r="T11" s="24">
        <f t="shared" si="2"/>
        <v>1039.8461538461538</v>
      </c>
      <c r="U11" s="24">
        <f t="shared" si="2"/>
        <v>1039.8461538461538</v>
      </c>
      <c r="V11" s="24">
        <f t="shared" si="2"/>
        <v>1039.8461538461538</v>
      </c>
      <c r="W11" s="24">
        <f t="shared" si="2"/>
        <v>1039.8461538461538</v>
      </c>
      <c r="X11" s="24">
        <f t="shared" si="2"/>
        <v>1039.8461538461538</v>
      </c>
      <c r="Y11" s="24">
        <f t="shared" si="2"/>
        <v>1039.8461538461538</v>
      </c>
      <c r="Z11" s="24">
        <f t="shared" si="2"/>
        <v>1039.8461538461538</v>
      </c>
      <c r="AA11" s="24">
        <f t="shared" si="2"/>
        <v>1039.8461538461538</v>
      </c>
      <c r="AB11" s="24">
        <f t="shared" si="2"/>
        <v>1039.8461538461538</v>
      </c>
      <c r="AC11" s="24">
        <f t="shared" si="2"/>
        <v>1039.8461538461538</v>
      </c>
      <c r="AD11" s="24">
        <f t="shared" si="2"/>
        <v>1039.8461538461538</v>
      </c>
      <c r="AE11" s="24">
        <f t="shared" si="2"/>
        <v>1039.8461538461538</v>
      </c>
      <c r="AF11" s="24">
        <f t="shared" si="2"/>
        <v>1039.8461538461538</v>
      </c>
      <c r="AG11" s="10">
        <f aca="true" t="shared" si="3" ref="AG11:AG36">SUM(G11:P11)</f>
        <v>10113.105384615386</v>
      </c>
      <c r="AH11" s="24">
        <f aca="true" t="shared" si="4" ref="AH11:AH36">SUM(AD11:AF11)</f>
        <v>3119.5384615384614</v>
      </c>
    </row>
    <row r="12" spans="1:34" ht="14.25">
      <c r="A12" s="19" t="s">
        <v>101</v>
      </c>
      <c r="B12" s="20" t="s">
        <v>74</v>
      </c>
      <c r="C12" s="21">
        <v>163984</v>
      </c>
      <c r="D12" s="21">
        <f t="shared" si="0"/>
        <v>6307.076923076923</v>
      </c>
      <c r="E12" s="19" t="s">
        <v>59</v>
      </c>
      <c r="F12" s="19" t="s">
        <v>102</v>
      </c>
      <c r="G12" s="21"/>
      <c r="H12" s="21"/>
      <c r="I12" s="21"/>
      <c r="J12" s="21"/>
      <c r="K12" s="21"/>
      <c r="L12" s="21"/>
      <c r="M12" s="21"/>
      <c r="N12" s="21"/>
      <c r="O12" s="21"/>
      <c r="P12" s="21">
        <f>+D12</f>
        <v>6307.076923076923</v>
      </c>
      <c r="Q12" s="21">
        <f>+P12</f>
        <v>6307.076923076923</v>
      </c>
      <c r="R12" s="21">
        <f t="shared" si="2"/>
        <v>6307.076923076923</v>
      </c>
      <c r="S12" s="21">
        <f t="shared" si="2"/>
        <v>6307.076923076923</v>
      </c>
      <c r="T12" s="21">
        <f t="shared" si="2"/>
        <v>6307.076923076923</v>
      </c>
      <c r="U12" s="21">
        <f t="shared" si="2"/>
        <v>6307.076923076923</v>
      </c>
      <c r="V12" s="21">
        <f t="shared" si="2"/>
        <v>6307.076923076923</v>
      </c>
      <c r="W12" s="21">
        <f t="shared" si="2"/>
        <v>6307.076923076923</v>
      </c>
      <c r="X12" s="21">
        <f t="shared" si="2"/>
        <v>6307.076923076923</v>
      </c>
      <c r="Y12" s="21">
        <f t="shared" si="2"/>
        <v>6307.076923076923</v>
      </c>
      <c r="Z12" s="21">
        <f t="shared" si="2"/>
        <v>6307.076923076923</v>
      </c>
      <c r="AA12" s="21">
        <f t="shared" si="2"/>
        <v>6307.076923076923</v>
      </c>
      <c r="AB12" s="21">
        <f t="shared" si="2"/>
        <v>6307.076923076923</v>
      </c>
      <c r="AC12" s="21">
        <f t="shared" si="2"/>
        <v>6307.076923076923</v>
      </c>
      <c r="AD12" s="21">
        <f t="shared" si="2"/>
        <v>6307.076923076923</v>
      </c>
      <c r="AE12" s="21">
        <f t="shared" si="2"/>
        <v>6307.076923076923</v>
      </c>
      <c r="AF12" s="21">
        <f t="shared" si="2"/>
        <v>6307.076923076923</v>
      </c>
      <c r="AG12" s="21">
        <f>SUM(G12:P12)</f>
        <v>6307.076923076923</v>
      </c>
      <c r="AH12" s="21">
        <f t="shared" si="4"/>
        <v>18921.23076923077</v>
      </c>
    </row>
    <row r="13" spans="1:34" ht="14.25" hidden="1">
      <c r="A13" s="19" t="s">
        <v>44</v>
      </c>
      <c r="B13" s="20" t="s">
        <v>74</v>
      </c>
      <c r="C13" s="21">
        <v>141654</v>
      </c>
      <c r="D13" s="10">
        <f t="shared" si="0"/>
        <v>5448.2307692307695</v>
      </c>
      <c r="E13" s="19" t="s">
        <v>59</v>
      </c>
      <c r="F13" s="19" t="s">
        <v>75</v>
      </c>
      <c r="G13" s="21">
        <f aca="true" t="shared" si="5" ref="G13:G21">+D13</f>
        <v>5448.2307692307695</v>
      </c>
      <c r="H13" s="21">
        <f aca="true" t="shared" si="6" ref="H13:AF13">+G13</f>
        <v>5448.2307692307695</v>
      </c>
      <c r="I13" s="21">
        <f t="shared" si="6"/>
        <v>5448.2307692307695</v>
      </c>
      <c r="J13" s="21">
        <f t="shared" si="6"/>
        <v>5448.2307692307695</v>
      </c>
      <c r="K13" s="21">
        <f t="shared" si="6"/>
        <v>5448.2307692307695</v>
      </c>
      <c r="L13" s="21">
        <f t="shared" si="6"/>
        <v>5448.2307692307695</v>
      </c>
      <c r="M13" s="21">
        <f t="shared" si="6"/>
        <v>5448.2307692307695</v>
      </c>
      <c r="N13" s="21">
        <f t="shared" si="6"/>
        <v>5448.2307692307695</v>
      </c>
      <c r="O13" s="21">
        <v>4818.1</v>
      </c>
      <c r="P13" s="21"/>
      <c r="Q13" s="21">
        <f t="shared" si="6"/>
        <v>0</v>
      </c>
      <c r="R13" s="21">
        <f t="shared" si="6"/>
        <v>0</v>
      </c>
      <c r="S13" s="21">
        <f t="shared" si="6"/>
        <v>0</v>
      </c>
      <c r="T13" s="21"/>
      <c r="U13" s="21"/>
      <c r="V13" s="21">
        <f t="shared" si="6"/>
        <v>0</v>
      </c>
      <c r="W13" s="21">
        <f t="shared" si="6"/>
        <v>0</v>
      </c>
      <c r="X13" s="21">
        <f t="shared" si="6"/>
        <v>0</v>
      </c>
      <c r="Y13" s="21">
        <f t="shared" si="6"/>
        <v>0</v>
      </c>
      <c r="Z13" s="21">
        <f t="shared" si="6"/>
        <v>0</v>
      </c>
      <c r="AA13" s="21">
        <f t="shared" si="6"/>
        <v>0</v>
      </c>
      <c r="AB13" s="21">
        <f t="shared" si="6"/>
        <v>0</v>
      </c>
      <c r="AC13" s="21">
        <f t="shared" si="6"/>
        <v>0</v>
      </c>
      <c r="AD13" s="21">
        <f t="shared" si="6"/>
        <v>0</v>
      </c>
      <c r="AE13" s="21">
        <f t="shared" si="6"/>
        <v>0</v>
      </c>
      <c r="AF13" s="21">
        <f t="shared" si="6"/>
        <v>0</v>
      </c>
      <c r="AG13" s="21">
        <f t="shared" si="3"/>
        <v>48403.946153846155</v>
      </c>
      <c r="AH13" s="21">
        <f t="shared" si="4"/>
        <v>0</v>
      </c>
    </row>
    <row r="14" spans="1:34" ht="14.25">
      <c r="A14" s="22" t="s">
        <v>34</v>
      </c>
      <c r="B14" s="23" t="s">
        <v>64</v>
      </c>
      <c r="C14" s="24">
        <v>104681</v>
      </c>
      <c r="D14" s="24">
        <f t="shared" si="0"/>
        <v>4026.1923076923076</v>
      </c>
      <c r="E14" s="22" t="s">
        <v>49</v>
      </c>
      <c r="F14" s="22" t="s">
        <v>60</v>
      </c>
      <c r="G14" s="24">
        <f t="shared" si="5"/>
        <v>4026.1923076923076</v>
      </c>
      <c r="H14" s="24">
        <f aca="true" t="shared" si="7" ref="H14:AF14">+G14</f>
        <v>4026.1923076923076</v>
      </c>
      <c r="I14" s="24">
        <f t="shared" si="7"/>
        <v>4026.1923076923076</v>
      </c>
      <c r="J14" s="24">
        <f t="shared" si="7"/>
        <v>4026.1923076923076</v>
      </c>
      <c r="K14" s="24">
        <f t="shared" si="7"/>
        <v>4026.1923076923076</v>
      </c>
      <c r="L14" s="24">
        <f t="shared" si="7"/>
        <v>4026.1923076923076</v>
      </c>
      <c r="M14" s="24">
        <f t="shared" si="7"/>
        <v>4026.1923076923076</v>
      </c>
      <c r="N14" s="24">
        <f t="shared" si="7"/>
        <v>4026.1923076923076</v>
      </c>
      <c r="O14" s="24">
        <f t="shared" si="7"/>
        <v>4026.1923076923076</v>
      </c>
      <c r="P14" s="24">
        <f t="shared" si="7"/>
        <v>4026.1923076923076</v>
      </c>
      <c r="Q14" s="24">
        <f t="shared" si="7"/>
        <v>4026.1923076923076</v>
      </c>
      <c r="R14" s="24">
        <f t="shared" si="7"/>
        <v>4026.1923076923076</v>
      </c>
      <c r="S14" s="24">
        <f t="shared" si="7"/>
        <v>4026.1923076923076</v>
      </c>
      <c r="T14" s="24">
        <f t="shared" si="7"/>
        <v>4026.1923076923076</v>
      </c>
      <c r="U14" s="24">
        <f t="shared" si="7"/>
        <v>4026.1923076923076</v>
      </c>
      <c r="V14" s="24">
        <f t="shared" si="7"/>
        <v>4026.1923076923076</v>
      </c>
      <c r="W14" s="24">
        <f t="shared" si="7"/>
        <v>4026.1923076923076</v>
      </c>
      <c r="X14" s="24">
        <f t="shared" si="7"/>
        <v>4026.1923076923076</v>
      </c>
      <c r="Y14" s="24">
        <f t="shared" si="7"/>
        <v>4026.1923076923076</v>
      </c>
      <c r="Z14" s="24">
        <f t="shared" si="7"/>
        <v>4026.1923076923076</v>
      </c>
      <c r="AA14" s="24">
        <f t="shared" si="7"/>
        <v>4026.1923076923076</v>
      </c>
      <c r="AB14" s="24">
        <f t="shared" si="7"/>
        <v>4026.1923076923076</v>
      </c>
      <c r="AC14" s="24">
        <f t="shared" si="7"/>
        <v>4026.1923076923076</v>
      </c>
      <c r="AD14" s="24">
        <f>(+AC14/10*1)+((104681/26)/10*9)</f>
        <v>4026.1923076923076</v>
      </c>
      <c r="AE14" s="24">
        <f>104681/26</f>
        <v>4026.1923076923076</v>
      </c>
      <c r="AF14" s="24">
        <f t="shared" si="7"/>
        <v>4026.1923076923076</v>
      </c>
      <c r="AG14" s="10">
        <f t="shared" si="3"/>
        <v>40261.92307692308</v>
      </c>
      <c r="AH14" s="24">
        <f t="shared" si="4"/>
        <v>12078.576923076922</v>
      </c>
    </row>
    <row r="15" spans="1:34" ht="14.25">
      <c r="A15" s="19" t="s">
        <v>42</v>
      </c>
      <c r="B15" s="20">
        <v>10013</v>
      </c>
      <c r="C15" s="21">
        <v>115410</v>
      </c>
      <c r="D15" s="21">
        <f t="shared" si="0"/>
        <v>4438.846153846154</v>
      </c>
      <c r="E15" s="19" t="s">
        <v>57</v>
      </c>
      <c r="F15" s="19" t="s">
        <v>133</v>
      </c>
      <c r="G15" s="21">
        <f t="shared" si="5"/>
        <v>4438.846153846154</v>
      </c>
      <c r="H15" s="21">
        <f aca="true" t="shared" si="8" ref="H15:AF15">+G15</f>
        <v>4438.846153846154</v>
      </c>
      <c r="I15" s="21">
        <f t="shared" si="8"/>
        <v>4438.846153846154</v>
      </c>
      <c r="J15" s="21">
        <f t="shared" si="8"/>
        <v>4438.846153846154</v>
      </c>
      <c r="K15" s="21">
        <f t="shared" si="8"/>
        <v>4438.846153846154</v>
      </c>
      <c r="L15" s="21">
        <f t="shared" si="8"/>
        <v>4438.846153846154</v>
      </c>
      <c r="M15" s="21">
        <f t="shared" si="8"/>
        <v>4438.846153846154</v>
      </c>
      <c r="N15" s="21">
        <f t="shared" si="8"/>
        <v>4438.846153846154</v>
      </c>
      <c r="O15" s="21">
        <f t="shared" si="8"/>
        <v>4438.846153846154</v>
      </c>
      <c r="P15" s="21">
        <f t="shared" si="8"/>
        <v>4438.846153846154</v>
      </c>
      <c r="Q15" s="21">
        <f t="shared" si="8"/>
        <v>4438.846153846154</v>
      </c>
      <c r="R15" s="21">
        <f t="shared" si="8"/>
        <v>4438.846153846154</v>
      </c>
      <c r="S15" s="21">
        <f t="shared" si="8"/>
        <v>4438.846153846154</v>
      </c>
      <c r="T15" s="21">
        <f t="shared" si="8"/>
        <v>4438.846153846154</v>
      </c>
      <c r="U15" s="21">
        <f t="shared" si="8"/>
        <v>4438.846153846154</v>
      </c>
      <c r="V15" s="21">
        <f t="shared" si="8"/>
        <v>4438.846153846154</v>
      </c>
      <c r="W15" s="21">
        <f>(+V15/10*8)+(115410/26/10*2)</f>
        <v>4438.846153846154</v>
      </c>
      <c r="X15" s="21">
        <f>115410/26</f>
        <v>4438.846153846154</v>
      </c>
      <c r="Y15" s="21">
        <f t="shared" si="8"/>
        <v>4438.846153846154</v>
      </c>
      <c r="Z15" s="21">
        <f t="shared" si="8"/>
        <v>4438.846153846154</v>
      </c>
      <c r="AA15" s="21">
        <f t="shared" si="8"/>
        <v>4438.846153846154</v>
      </c>
      <c r="AB15" s="21">
        <f t="shared" si="8"/>
        <v>4438.846153846154</v>
      </c>
      <c r="AC15" s="21">
        <f t="shared" si="8"/>
        <v>4438.846153846154</v>
      </c>
      <c r="AD15" s="21">
        <f t="shared" si="8"/>
        <v>4438.846153846154</v>
      </c>
      <c r="AE15" s="21">
        <f t="shared" si="8"/>
        <v>4438.846153846154</v>
      </c>
      <c r="AF15" s="21">
        <f t="shared" si="8"/>
        <v>4438.846153846154</v>
      </c>
      <c r="AG15" s="21">
        <f t="shared" si="3"/>
        <v>44388.46153846155</v>
      </c>
      <c r="AH15" s="21">
        <f t="shared" si="4"/>
        <v>13316.538461538463</v>
      </c>
    </row>
    <row r="16" spans="1:34" ht="14.25">
      <c r="A16" s="22" t="s">
        <v>40</v>
      </c>
      <c r="B16" s="23">
        <v>12584</v>
      </c>
      <c r="C16" s="24">
        <v>121177</v>
      </c>
      <c r="D16" s="24">
        <f t="shared" si="0"/>
        <v>4660.653846153846</v>
      </c>
      <c r="E16" s="22" t="s">
        <v>56</v>
      </c>
      <c r="F16" s="22" t="s">
        <v>71</v>
      </c>
      <c r="G16" s="24">
        <f t="shared" si="5"/>
        <v>4660.653846153846</v>
      </c>
      <c r="H16" s="24">
        <f aca="true" t="shared" si="9" ref="H16:AF16">+G16</f>
        <v>4660.653846153846</v>
      </c>
      <c r="I16" s="24">
        <f t="shared" si="9"/>
        <v>4660.653846153846</v>
      </c>
      <c r="J16" s="24">
        <f t="shared" si="9"/>
        <v>4660.653846153846</v>
      </c>
      <c r="K16" s="24">
        <f t="shared" si="9"/>
        <v>4660.653846153846</v>
      </c>
      <c r="L16" s="24">
        <f t="shared" si="9"/>
        <v>4660.653846153846</v>
      </c>
      <c r="M16" s="24">
        <f t="shared" si="9"/>
        <v>4660.653846153846</v>
      </c>
      <c r="N16" s="24">
        <f t="shared" si="9"/>
        <v>4660.653846153846</v>
      </c>
      <c r="O16" s="24">
        <f t="shared" si="9"/>
        <v>4660.653846153846</v>
      </c>
      <c r="P16" s="24">
        <f t="shared" si="9"/>
        <v>4660.653846153846</v>
      </c>
      <c r="Q16" s="24">
        <f t="shared" si="9"/>
        <v>4660.653846153846</v>
      </c>
      <c r="R16" s="24">
        <f t="shared" si="9"/>
        <v>4660.653846153846</v>
      </c>
      <c r="S16" s="24">
        <f t="shared" si="9"/>
        <v>4660.653846153846</v>
      </c>
      <c r="T16" s="24">
        <f t="shared" si="9"/>
        <v>4660.653846153846</v>
      </c>
      <c r="U16" s="24">
        <f t="shared" si="9"/>
        <v>4660.653846153846</v>
      </c>
      <c r="V16" s="24">
        <f t="shared" si="9"/>
        <v>4660.653846153846</v>
      </c>
      <c r="W16" s="24">
        <f t="shared" si="9"/>
        <v>4660.653846153846</v>
      </c>
      <c r="X16" s="24">
        <f t="shared" si="9"/>
        <v>4660.653846153846</v>
      </c>
      <c r="Y16" s="24">
        <f t="shared" si="9"/>
        <v>4660.653846153846</v>
      </c>
      <c r="Z16" s="24">
        <f t="shared" si="9"/>
        <v>4660.653846153846</v>
      </c>
      <c r="AA16" s="24">
        <f t="shared" si="9"/>
        <v>4660.653846153846</v>
      </c>
      <c r="AB16" s="24">
        <f t="shared" si="9"/>
        <v>4660.653846153846</v>
      </c>
      <c r="AC16" s="24">
        <f t="shared" si="9"/>
        <v>4660.653846153846</v>
      </c>
      <c r="AD16" s="24">
        <f t="shared" si="9"/>
        <v>4660.653846153846</v>
      </c>
      <c r="AE16" s="24">
        <f t="shared" si="9"/>
        <v>4660.653846153846</v>
      </c>
      <c r="AF16" s="24">
        <f t="shared" si="9"/>
        <v>4660.653846153846</v>
      </c>
      <c r="AG16" s="24">
        <f t="shared" si="3"/>
        <v>46606.53846153845</v>
      </c>
      <c r="AH16" s="24">
        <f t="shared" si="4"/>
        <v>13981.961538461537</v>
      </c>
    </row>
    <row r="17" spans="1:34" ht="14.25" hidden="1">
      <c r="A17" s="22" t="s">
        <v>31</v>
      </c>
      <c r="B17" s="23">
        <v>12729</v>
      </c>
      <c r="C17" s="24">
        <v>104681</v>
      </c>
      <c r="D17" s="24">
        <f t="shared" si="0"/>
        <v>4026.1923076923076</v>
      </c>
      <c r="E17" s="22" t="s">
        <v>46</v>
      </c>
      <c r="F17" s="22" t="s">
        <v>60</v>
      </c>
      <c r="G17" s="24">
        <f t="shared" si="5"/>
        <v>4026.1923076923076</v>
      </c>
      <c r="H17" s="24">
        <f aca="true" t="shared" si="10" ref="H17:U17">+G17</f>
        <v>4026.1923076923076</v>
      </c>
      <c r="I17" s="24">
        <f t="shared" si="10"/>
        <v>4026.1923076923076</v>
      </c>
      <c r="J17" s="24">
        <f t="shared" si="10"/>
        <v>4026.1923076923076</v>
      </c>
      <c r="K17" s="24">
        <f t="shared" si="10"/>
        <v>4026.1923076923076</v>
      </c>
      <c r="L17" s="24">
        <f t="shared" si="10"/>
        <v>4026.1923076923076</v>
      </c>
      <c r="M17" s="24">
        <f t="shared" si="10"/>
        <v>4026.1923076923076</v>
      </c>
      <c r="N17" s="24">
        <f t="shared" si="10"/>
        <v>4026.1923076923076</v>
      </c>
      <c r="O17" s="24">
        <f t="shared" si="10"/>
        <v>4026.1923076923076</v>
      </c>
      <c r="P17" s="24">
        <f t="shared" si="10"/>
        <v>4026.1923076923076</v>
      </c>
      <c r="Q17" s="24">
        <f t="shared" si="10"/>
        <v>4026.1923076923076</v>
      </c>
      <c r="R17" s="24">
        <f t="shared" si="10"/>
        <v>4026.1923076923076</v>
      </c>
      <c r="S17" s="24">
        <f t="shared" si="10"/>
        <v>4026.1923076923076</v>
      </c>
      <c r="T17" s="24">
        <f t="shared" si="10"/>
        <v>4026.1923076923076</v>
      </c>
      <c r="U17" s="24">
        <f t="shared" si="10"/>
        <v>4026.1923076923076</v>
      </c>
      <c r="V17" s="24">
        <f>(+U17/10*8)+(107291/26/10*2)</f>
        <v>4046.2692307692305</v>
      </c>
      <c r="W17" s="24">
        <f>107291/26</f>
        <v>4126.576923076923</v>
      </c>
      <c r="X17" s="24">
        <f>+W17</f>
        <v>4126.576923076923</v>
      </c>
      <c r="Y17" s="24">
        <f>+X17</f>
        <v>4126.576923076923</v>
      </c>
      <c r="Z17" s="24">
        <f>+Y17</f>
        <v>4126.576923076923</v>
      </c>
      <c r="AA17" s="24">
        <f>+Z17</f>
        <v>4126.576923076923</v>
      </c>
      <c r="AB17" s="24">
        <f>+AA17/10*8</f>
        <v>3301.2615384615383</v>
      </c>
      <c r="AC17" s="24" t="s">
        <v>100</v>
      </c>
      <c r="AD17" s="24" t="str">
        <f aca="true" t="shared" si="11" ref="AD17:AF18">+AC17</f>
        <v> </v>
      </c>
      <c r="AE17" s="24" t="str">
        <f t="shared" si="11"/>
        <v> </v>
      </c>
      <c r="AF17" s="24" t="str">
        <f t="shared" si="11"/>
        <v> </v>
      </c>
      <c r="AG17" s="10">
        <f t="shared" si="3"/>
        <v>40261.92307692308</v>
      </c>
      <c r="AH17" s="24">
        <f t="shared" si="4"/>
        <v>0</v>
      </c>
    </row>
    <row r="18" spans="1:34" ht="14.25">
      <c r="A18" s="37" t="s">
        <v>134</v>
      </c>
      <c r="B18" s="40">
        <v>12729</v>
      </c>
      <c r="C18" s="38">
        <v>87964</v>
      </c>
      <c r="D18" s="38">
        <f>C18/26</f>
        <v>3383.230769230769</v>
      </c>
      <c r="E18" s="19" t="s">
        <v>46</v>
      </c>
      <c r="F18" s="19" t="s">
        <v>105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>
        <f>+D18/10*2</f>
        <v>676.6461538461538</v>
      </c>
      <c r="AC18" s="21">
        <f>+D18</f>
        <v>3383.230769230769</v>
      </c>
      <c r="AD18" s="21">
        <f t="shared" si="11"/>
        <v>3383.230769230769</v>
      </c>
      <c r="AE18" s="21">
        <f t="shared" si="11"/>
        <v>3383.230769230769</v>
      </c>
      <c r="AF18" s="21">
        <f t="shared" si="11"/>
        <v>3383.230769230769</v>
      </c>
      <c r="AG18" s="21"/>
      <c r="AH18" s="21">
        <f t="shared" si="4"/>
        <v>10149.692307692307</v>
      </c>
    </row>
    <row r="19" spans="1:39" ht="14.25">
      <c r="A19" s="22" t="s">
        <v>96</v>
      </c>
      <c r="B19" s="23" t="s">
        <v>80</v>
      </c>
      <c r="C19" s="24">
        <v>99694.45</v>
      </c>
      <c r="D19" s="24">
        <f>C19/26</f>
        <v>3834.401923076923</v>
      </c>
      <c r="E19" s="22" t="s">
        <v>81</v>
      </c>
      <c r="F19" s="22" t="s">
        <v>97</v>
      </c>
      <c r="G19" s="24">
        <f>14226.13-H19-I19-J19</f>
        <v>2722.9242307692307</v>
      </c>
      <c r="H19" s="24">
        <f>+D19</f>
        <v>3834.401923076923</v>
      </c>
      <c r="I19" s="24">
        <f>+H19</f>
        <v>3834.401923076923</v>
      </c>
      <c r="J19" s="24">
        <f>+I19</f>
        <v>3834.401923076923</v>
      </c>
      <c r="K19" s="24">
        <v>3508.69</v>
      </c>
      <c r="L19" s="24">
        <f>+D19</f>
        <v>3834.401923076923</v>
      </c>
      <c r="M19" s="24">
        <f aca="true" t="shared" si="12" ref="M19:AB19">+L19</f>
        <v>3834.401923076923</v>
      </c>
      <c r="N19" s="24">
        <f t="shared" si="12"/>
        <v>3834.401923076923</v>
      </c>
      <c r="O19" s="24">
        <f t="shared" si="12"/>
        <v>3834.401923076923</v>
      </c>
      <c r="P19" s="24">
        <f t="shared" si="12"/>
        <v>3834.401923076923</v>
      </c>
      <c r="Q19" s="24">
        <f t="shared" si="12"/>
        <v>3834.401923076923</v>
      </c>
      <c r="R19" s="24">
        <f t="shared" si="12"/>
        <v>3834.401923076923</v>
      </c>
      <c r="S19" s="24">
        <f t="shared" si="12"/>
        <v>3834.401923076923</v>
      </c>
      <c r="T19" s="24">
        <f t="shared" si="12"/>
        <v>3834.401923076923</v>
      </c>
      <c r="U19" s="24">
        <f t="shared" si="12"/>
        <v>3834.401923076923</v>
      </c>
      <c r="V19" s="24">
        <f t="shared" si="12"/>
        <v>3834.401923076923</v>
      </c>
      <c r="W19" s="24">
        <f t="shared" si="12"/>
        <v>3834.401923076923</v>
      </c>
      <c r="X19" s="24">
        <f t="shared" si="12"/>
        <v>3834.401923076923</v>
      </c>
      <c r="Y19" s="24">
        <f t="shared" si="12"/>
        <v>3834.401923076923</v>
      </c>
      <c r="Z19" s="24">
        <f t="shared" si="12"/>
        <v>3834.401923076923</v>
      </c>
      <c r="AA19" s="24">
        <f t="shared" si="12"/>
        <v>3834.401923076923</v>
      </c>
      <c r="AB19" s="24">
        <f t="shared" si="12"/>
        <v>3834.401923076923</v>
      </c>
      <c r="AC19" s="24">
        <f>+AB19/10*8</f>
        <v>3067.5215384615385</v>
      </c>
      <c r="AD19" s="24"/>
      <c r="AE19" s="24"/>
      <c r="AF19" s="24">
        <f>+AE19</f>
        <v>0</v>
      </c>
      <c r="AG19" s="24">
        <f t="shared" si="3"/>
        <v>36906.82961538462</v>
      </c>
      <c r="AH19" s="24">
        <f t="shared" si="4"/>
        <v>0</v>
      </c>
      <c r="AM19" t="s">
        <v>127</v>
      </c>
    </row>
    <row r="20" spans="1:39" ht="14.25">
      <c r="A20" s="22" t="s">
        <v>32</v>
      </c>
      <c r="B20" s="23" t="s">
        <v>80</v>
      </c>
      <c r="C20" s="24">
        <v>99694</v>
      </c>
      <c r="D20" s="24">
        <f>C20/26</f>
        <v>3834.3846153846152</v>
      </c>
      <c r="E20" s="22" t="s">
        <v>81</v>
      </c>
      <c r="F20" s="22" t="s">
        <v>97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>
        <f>+D20/10*2</f>
        <v>766.876923076923</v>
      </c>
      <c r="AD20" s="24">
        <f>+D20</f>
        <v>3834.3846153846152</v>
      </c>
      <c r="AE20" s="24">
        <f>+AD20</f>
        <v>3834.3846153846152</v>
      </c>
      <c r="AF20" s="24">
        <f>+AE20</f>
        <v>3834.3846153846152</v>
      </c>
      <c r="AG20" s="24"/>
      <c r="AH20" s="24">
        <f t="shared" si="4"/>
        <v>11503.153846153846</v>
      </c>
      <c r="AM20" t="s">
        <v>125</v>
      </c>
    </row>
    <row r="21" spans="1:34" ht="14.25">
      <c r="A21" s="19" t="s">
        <v>41</v>
      </c>
      <c r="B21" s="20" t="s">
        <v>72</v>
      </c>
      <c r="C21" s="21">
        <v>90106</v>
      </c>
      <c r="D21" s="21">
        <f t="shared" si="0"/>
        <v>3465.6153846153848</v>
      </c>
      <c r="E21" s="19" t="s">
        <v>46</v>
      </c>
      <c r="F21" s="19" t="s">
        <v>73</v>
      </c>
      <c r="G21" s="21">
        <f t="shared" si="5"/>
        <v>3465.6153846153848</v>
      </c>
      <c r="H21" s="21">
        <f aca="true" t="shared" si="13" ref="H21:AF21">+G21</f>
        <v>3465.6153846153848</v>
      </c>
      <c r="I21" s="21">
        <f t="shared" si="13"/>
        <v>3465.6153846153848</v>
      </c>
      <c r="J21" s="21">
        <f t="shared" si="13"/>
        <v>3465.6153846153848</v>
      </c>
      <c r="K21" s="21">
        <f t="shared" si="13"/>
        <v>3465.6153846153848</v>
      </c>
      <c r="L21" s="21">
        <f t="shared" si="13"/>
        <v>3465.6153846153848</v>
      </c>
      <c r="M21" s="21">
        <f t="shared" si="13"/>
        <v>3465.6153846153848</v>
      </c>
      <c r="N21" s="21">
        <f t="shared" si="13"/>
        <v>3465.6153846153848</v>
      </c>
      <c r="O21" s="21">
        <f t="shared" si="13"/>
        <v>3465.6153846153848</v>
      </c>
      <c r="P21" s="21">
        <f t="shared" si="13"/>
        <v>3465.6153846153848</v>
      </c>
      <c r="Q21" s="21">
        <f t="shared" si="13"/>
        <v>3465.6153846153848</v>
      </c>
      <c r="R21" s="21">
        <f t="shared" si="13"/>
        <v>3465.6153846153848</v>
      </c>
      <c r="S21" s="21">
        <f t="shared" si="13"/>
        <v>3465.6153846153848</v>
      </c>
      <c r="T21" s="21">
        <f t="shared" si="13"/>
        <v>3465.6153846153848</v>
      </c>
      <c r="U21" s="21">
        <f t="shared" si="13"/>
        <v>3465.6153846153848</v>
      </c>
      <c r="V21" s="21">
        <f t="shared" si="13"/>
        <v>3465.6153846153848</v>
      </c>
      <c r="W21" s="21">
        <f t="shared" si="13"/>
        <v>3465.6153846153848</v>
      </c>
      <c r="X21" s="21">
        <f t="shared" si="13"/>
        <v>3465.6153846153848</v>
      </c>
      <c r="Y21" s="21">
        <f t="shared" si="13"/>
        <v>3465.6153846153848</v>
      </c>
      <c r="Z21" s="21">
        <f t="shared" si="13"/>
        <v>3465.6153846153848</v>
      </c>
      <c r="AA21" s="21">
        <f t="shared" si="13"/>
        <v>3465.6153846153848</v>
      </c>
      <c r="AB21" s="21">
        <f t="shared" si="13"/>
        <v>3465.6153846153848</v>
      </c>
      <c r="AC21" s="21">
        <f t="shared" si="13"/>
        <v>3465.6153846153848</v>
      </c>
      <c r="AD21" s="21">
        <f t="shared" si="13"/>
        <v>3465.6153846153848</v>
      </c>
      <c r="AE21" s="21">
        <f t="shared" si="13"/>
        <v>3465.6153846153848</v>
      </c>
      <c r="AF21" s="21">
        <f t="shared" si="13"/>
        <v>3465.6153846153848</v>
      </c>
      <c r="AG21" s="21">
        <f t="shared" si="3"/>
        <v>34656.15384615384</v>
      </c>
      <c r="AH21" s="21">
        <f t="shared" si="4"/>
        <v>10396.846153846154</v>
      </c>
    </row>
    <row r="22" spans="1:34" ht="14.25" hidden="1">
      <c r="A22" s="19" t="s">
        <v>116</v>
      </c>
      <c r="B22" s="20"/>
      <c r="C22" s="21"/>
      <c r="D22" s="10"/>
      <c r="E22" s="19" t="s">
        <v>53</v>
      </c>
      <c r="F22" s="1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>
        <f t="shared" si="4"/>
        <v>0</v>
      </c>
    </row>
    <row r="23" spans="1:39" ht="14.25">
      <c r="A23" s="22" t="s">
        <v>38</v>
      </c>
      <c r="B23" s="23">
        <v>12230</v>
      </c>
      <c r="C23" s="24">
        <v>66790</v>
      </c>
      <c r="D23" s="24">
        <f t="shared" si="0"/>
        <v>2568.846153846154</v>
      </c>
      <c r="E23" s="22" t="s">
        <v>120</v>
      </c>
      <c r="F23" s="22" t="s">
        <v>67</v>
      </c>
      <c r="G23" s="24"/>
      <c r="H23" s="24"/>
      <c r="I23" s="24"/>
      <c r="J23" s="24"/>
      <c r="K23" s="24">
        <f>+D23</f>
        <v>2568.846153846154</v>
      </c>
      <c r="L23" s="24">
        <f>+K23</f>
        <v>2568.846153846154</v>
      </c>
      <c r="M23" s="24">
        <f>+D23</f>
        <v>2568.846153846154</v>
      </c>
      <c r="N23" s="24">
        <f aca="true" t="shared" si="14" ref="N23:AB23">+M23</f>
        <v>2568.846153846154</v>
      </c>
      <c r="O23" s="24">
        <f t="shared" si="14"/>
        <v>2568.846153846154</v>
      </c>
      <c r="P23" s="24">
        <f t="shared" si="14"/>
        <v>2568.846153846154</v>
      </c>
      <c r="Q23" s="24">
        <v>2390</v>
      </c>
      <c r="R23" s="24">
        <f t="shared" si="14"/>
        <v>2390</v>
      </c>
      <c r="S23" s="24">
        <f t="shared" si="14"/>
        <v>2390</v>
      </c>
      <c r="T23" s="24">
        <f t="shared" si="14"/>
        <v>2390</v>
      </c>
      <c r="U23" s="24">
        <f t="shared" si="14"/>
        <v>2390</v>
      </c>
      <c r="V23" s="24">
        <f t="shared" si="14"/>
        <v>2390</v>
      </c>
      <c r="W23" s="24">
        <f t="shared" si="14"/>
        <v>2390</v>
      </c>
      <c r="X23" s="24">
        <f t="shared" si="14"/>
        <v>2390</v>
      </c>
      <c r="Y23" s="24">
        <f t="shared" si="14"/>
        <v>2390</v>
      </c>
      <c r="Z23" s="24">
        <f t="shared" si="14"/>
        <v>2390</v>
      </c>
      <c r="AA23" s="24">
        <f t="shared" si="14"/>
        <v>2390</v>
      </c>
      <c r="AB23" s="24">
        <f t="shared" si="14"/>
        <v>2390</v>
      </c>
      <c r="AC23" s="24">
        <f>65159/26/10*1</f>
        <v>250.6115384615385</v>
      </c>
      <c r="AD23" s="24">
        <f>+(65159/26/10*5)+(66790/26/10*5)</f>
        <v>2537.480769230769</v>
      </c>
      <c r="AE23" s="24">
        <f>+C23/26</f>
        <v>2568.846153846154</v>
      </c>
      <c r="AF23" s="24">
        <f>+AE23</f>
        <v>2568.846153846154</v>
      </c>
      <c r="AG23" s="10">
        <f t="shared" si="3"/>
        <v>15413.076923076924</v>
      </c>
      <c r="AH23" s="24">
        <f t="shared" si="4"/>
        <v>7675.173076923076</v>
      </c>
      <c r="AM23" t="s">
        <v>128</v>
      </c>
    </row>
    <row r="24" spans="1:39" ht="14.25">
      <c r="A24" s="22" t="s">
        <v>116</v>
      </c>
      <c r="B24" s="23" t="s">
        <v>78</v>
      </c>
      <c r="C24" s="24">
        <v>83771</v>
      </c>
      <c r="D24" s="24">
        <f t="shared" si="0"/>
        <v>3221.9615384615386</v>
      </c>
      <c r="E24" s="22" t="s">
        <v>53</v>
      </c>
      <c r="F24" s="22" t="s">
        <v>118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>
        <f>83771/26/10*7</f>
        <v>2255.373076923077</v>
      </c>
      <c r="AF24" s="24">
        <f>+C24/26</f>
        <v>3221.9615384615386</v>
      </c>
      <c r="AG24" s="24"/>
      <c r="AH24" s="24">
        <f t="shared" si="4"/>
        <v>5477.334615384616</v>
      </c>
      <c r="AM24" t="s">
        <v>129</v>
      </c>
    </row>
    <row r="25" spans="1:34" ht="14.25">
      <c r="A25" s="19" t="s">
        <v>36</v>
      </c>
      <c r="B25" s="20" t="s">
        <v>63</v>
      </c>
      <c r="C25" s="21">
        <v>70126</v>
      </c>
      <c r="D25" s="21">
        <f t="shared" si="0"/>
        <v>2697.153846153846</v>
      </c>
      <c r="E25" s="19" t="s">
        <v>48</v>
      </c>
      <c r="F25" s="19" t="s">
        <v>124</v>
      </c>
      <c r="G25" s="21">
        <v>2506.12</v>
      </c>
      <c r="H25" s="21">
        <f>+D25</f>
        <v>2697.153846153846</v>
      </c>
      <c r="I25" s="21">
        <f>+H25+12.55</f>
        <v>2709.7038461538464</v>
      </c>
      <c r="J25" s="21">
        <f>D25</f>
        <v>2697.153846153846</v>
      </c>
      <c r="K25" s="21">
        <f aca="true" t="shared" si="15" ref="K25:AF25">+J25</f>
        <v>2697.153846153846</v>
      </c>
      <c r="L25" s="21">
        <f t="shared" si="15"/>
        <v>2697.153846153846</v>
      </c>
      <c r="M25" s="21">
        <f t="shared" si="15"/>
        <v>2697.153846153846</v>
      </c>
      <c r="N25" s="21">
        <f t="shared" si="15"/>
        <v>2697.153846153846</v>
      </c>
      <c r="O25" s="21">
        <f t="shared" si="15"/>
        <v>2697.153846153846</v>
      </c>
      <c r="P25" s="21">
        <f t="shared" si="15"/>
        <v>2697.153846153846</v>
      </c>
      <c r="Q25" s="21">
        <v>2569</v>
      </c>
      <c r="R25" s="21">
        <f t="shared" si="15"/>
        <v>2569</v>
      </c>
      <c r="S25" s="21">
        <f t="shared" si="15"/>
        <v>2569</v>
      </c>
      <c r="T25" s="21">
        <f t="shared" si="15"/>
        <v>2569</v>
      </c>
      <c r="U25" s="21">
        <f t="shared" si="15"/>
        <v>2569</v>
      </c>
      <c r="V25" s="21">
        <f t="shared" si="15"/>
        <v>2569</v>
      </c>
      <c r="W25" s="21">
        <f t="shared" si="15"/>
        <v>2569</v>
      </c>
      <c r="X25" s="21">
        <f t="shared" si="15"/>
        <v>2569</v>
      </c>
      <c r="Y25" s="21">
        <f t="shared" si="15"/>
        <v>2569</v>
      </c>
      <c r="Z25" s="21">
        <f>+D25</f>
        <v>2697.153846153846</v>
      </c>
      <c r="AA25" s="21">
        <f t="shared" si="15"/>
        <v>2697.153846153846</v>
      </c>
      <c r="AB25" s="21">
        <f t="shared" si="15"/>
        <v>2697.153846153846</v>
      </c>
      <c r="AC25" s="21">
        <f t="shared" si="15"/>
        <v>2697.153846153846</v>
      </c>
      <c r="AD25" s="21">
        <f t="shared" si="15"/>
        <v>2697.153846153846</v>
      </c>
      <c r="AE25" s="21">
        <f t="shared" si="15"/>
        <v>2697.153846153846</v>
      </c>
      <c r="AF25" s="21">
        <f t="shared" si="15"/>
        <v>2697.153846153846</v>
      </c>
      <c r="AG25" s="21">
        <f t="shared" si="3"/>
        <v>26793.05461538462</v>
      </c>
      <c r="AH25" s="21">
        <f t="shared" si="4"/>
        <v>8091.461538461539</v>
      </c>
    </row>
    <row r="26" spans="1:34" ht="14.25" hidden="1">
      <c r="A26" s="19" t="s">
        <v>33</v>
      </c>
      <c r="B26" s="20" t="s">
        <v>63</v>
      </c>
      <c r="C26" s="21">
        <v>73631</v>
      </c>
      <c r="D26" s="10">
        <f t="shared" si="0"/>
        <v>2831.9615384615386</v>
      </c>
      <c r="E26" s="19" t="s">
        <v>48</v>
      </c>
      <c r="F26" s="19" t="s">
        <v>70</v>
      </c>
      <c r="G26" s="21">
        <f>71834/26</f>
        <v>2762.846153846154</v>
      </c>
      <c r="H26" s="21">
        <f aca="true" t="shared" si="16" ref="H26:AF26">+G26</f>
        <v>2762.846153846154</v>
      </c>
      <c r="I26" s="21">
        <f t="shared" si="16"/>
        <v>2762.846153846154</v>
      </c>
      <c r="J26" s="21">
        <f t="shared" si="16"/>
        <v>2762.846153846154</v>
      </c>
      <c r="K26" s="21">
        <f t="shared" si="16"/>
        <v>2762.846153846154</v>
      </c>
      <c r="L26" s="21">
        <f t="shared" si="16"/>
        <v>2762.846153846154</v>
      </c>
      <c r="M26" s="21">
        <f>(+L26/10*9)+(D26/10*1)</f>
        <v>2769.757692307692</v>
      </c>
      <c r="N26" s="21">
        <f>+D26</f>
        <v>2831.9615384615386</v>
      </c>
      <c r="O26" s="21">
        <f t="shared" si="16"/>
        <v>2831.9615384615386</v>
      </c>
      <c r="P26" s="21">
        <f t="shared" si="16"/>
        <v>2831.9615384615386</v>
      </c>
      <c r="Q26" s="21">
        <f t="shared" si="16"/>
        <v>2831.9615384615386</v>
      </c>
      <c r="R26" s="21">
        <f t="shared" si="16"/>
        <v>2831.9615384615386</v>
      </c>
      <c r="S26" s="21">
        <f t="shared" si="16"/>
        <v>2831.9615384615386</v>
      </c>
      <c r="T26" s="21">
        <f t="shared" si="16"/>
        <v>2831.9615384615386</v>
      </c>
      <c r="U26" s="21">
        <f t="shared" si="16"/>
        <v>2831.9615384615386</v>
      </c>
      <c r="V26" s="21">
        <f t="shared" si="16"/>
        <v>2831.9615384615386</v>
      </c>
      <c r="W26" s="21">
        <f t="shared" si="16"/>
        <v>2831.9615384615386</v>
      </c>
      <c r="X26" s="21">
        <f t="shared" si="16"/>
        <v>2831.9615384615386</v>
      </c>
      <c r="Y26" s="21">
        <f t="shared" si="16"/>
        <v>2831.9615384615386</v>
      </c>
      <c r="Z26" s="21">
        <f t="shared" si="16"/>
        <v>2831.9615384615386</v>
      </c>
      <c r="AA26" s="21" t="s">
        <v>100</v>
      </c>
      <c r="AB26" s="21" t="str">
        <f t="shared" si="16"/>
        <v> </v>
      </c>
      <c r="AC26" s="21" t="str">
        <f t="shared" si="16"/>
        <v> </v>
      </c>
      <c r="AD26" s="21" t="str">
        <f t="shared" si="16"/>
        <v> </v>
      </c>
      <c r="AE26" s="21" t="str">
        <f t="shared" si="16"/>
        <v> </v>
      </c>
      <c r="AF26" s="21" t="str">
        <f t="shared" si="16"/>
        <v> </v>
      </c>
      <c r="AG26" s="21">
        <f t="shared" si="3"/>
        <v>27842.71923076923</v>
      </c>
      <c r="AH26" s="21">
        <f t="shared" si="4"/>
        <v>0</v>
      </c>
    </row>
    <row r="27" spans="1:34" ht="14.25">
      <c r="A27" s="22" t="s">
        <v>39</v>
      </c>
      <c r="B27" s="23" t="s">
        <v>69</v>
      </c>
      <c r="C27" s="24">
        <v>75426</v>
      </c>
      <c r="D27" s="24">
        <f t="shared" si="0"/>
        <v>2901</v>
      </c>
      <c r="E27" s="22" t="s">
        <v>55</v>
      </c>
      <c r="F27" s="22" t="s">
        <v>121</v>
      </c>
      <c r="G27" s="24">
        <f aca="true" t="shared" si="17" ref="G27:G33">+D27</f>
        <v>2901</v>
      </c>
      <c r="H27" s="24">
        <f aca="true" t="shared" si="18" ref="H27:AF27">+G27</f>
        <v>2901</v>
      </c>
      <c r="I27" s="24">
        <f t="shared" si="18"/>
        <v>2901</v>
      </c>
      <c r="J27" s="24">
        <f t="shared" si="18"/>
        <v>2901</v>
      </c>
      <c r="K27" s="24">
        <f t="shared" si="18"/>
        <v>2901</v>
      </c>
      <c r="L27" s="24">
        <f t="shared" si="18"/>
        <v>2901</v>
      </c>
      <c r="M27" s="24">
        <f t="shared" si="18"/>
        <v>2901</v>
      </c>
      <c r="N27" s="24">
        <f t="shared" si="18"/>
        <v>2901</v>
      </c>
      <c r="O27" s="24">
        <f t="shared" si="18"/>
        <v>2901</v>
      </c>
      <c r="P27" s="24">
        <f t="shared" si="18"/>
        <v>2901</v>
      </c>
      <c r="Q27" s="24">
        <v>2832</v>
      </c>
      <c r="R27" s="24">
        <f t="shared" si="18"/>
        <v>2832</v>
      </c>
      <c r="S27" s="24">
        <f t="shared" si="18"/>
        <v>2832</v>
      </c>
      <c r="T27" s="24">
        <f t="shared" si="18"/>
        <v>2832</v>
      </c>
      <c r="U27" s="24">
        <f t="shared" si="18"/>
        <v>2832</v>
      </c>
      <c r="V27" s="24">
        <f t="shared" si="18"/>
        <v>2832</v>
      </c>
      <c r="W27" s="24">
        <f t="shared" si="18"/>
        <v>2832</v>
      </c>
      <c r="X27" s="24">
        <f t="shared" si="18"/>
        <v>2832</v>
      </c>
      <c r="Y27" s="24">
        <f t="shared" si="18"/>
        <v>2832</v>
      </c>
      <c r="Z27" s="24">
        <f t="shared" si="18"/>
        <v>2832</v>
      </c>
      <c r="AA27" s="24">
        <f t="shared" si="18"/>
        <v>2832</v>
      </c>
      <c r="AB27" s="24">
        <f>(+AA27/10*2)+(75426/26/10*8)</f>
        <v>2887.2000000000003</v>
      </c>
      <c r="AC27" s="24">
        <f>+D27</f>
        <v>2901</v>
      </c>
      <c r="AD27" s="24">
        <f t="shared" si="18"/>
        <v>2901</v>
      </c>
      <c r="AE27" s="24">
        <f t="shared" si="18"/>
        <v>2901</v>
      </c>
      <c r="AF27" s="24">
        <f t="shared" si="18"/>
        <v>2901</v>
      </c>
      <c r="AG27" s="10">
        <f t="shared" si="3"/>
        <v>29010</v>
      </c>
      <c r="AH27" s="24">
        <f t="shared" si="4"/>
        <v>8703</v>
      </c>
    </row>
    <row r="28" spans="1:39" ht="14.25">
      <c r="A28" s="19" t="s">
        <v>32</v>
      </c>
      <c r="B28" s="20" t="s">
        <v>61</v>
      </c>
      <c r="C28" s="21">
        <v>76091.43</v>
      </c>
      <c r="D28" s="21">
        <f aca="true" t="shared" si="19" ref="D28:D37">C28/26</f>
        <v>2926.5934615384613</v>
      </c>
      <c r="E28" s="19" t="s">
        <v>47</v>
      </c>
      <c r="F28" s="19" t="s">
        <v>62</v>
      </c>
      <c r="G28" s="21">
        <f t="shared" si="17"/>
        <v>2926.5934615384613</v>
      </c>
      <c r="H28" s="21">
        <f aca="true" t="shared" si="20" ref="H28:AF28">+G28</f>
        <v>2926.5934615384613</v>
      </c>
      <c r="I28" s="21">
        <f t="shared" si="20"/>
        <v>2926.5934615384613</v>
      </c>
      <c r="J28" s="21">
        <f t="shared" si="20"/>
        <v>2926.5934615384613</v>
      </c>
      <c r="K28" s="21">
        <f t="shared" si="20"/>
        <v>2926.5934615384613</v>
      </c>
      <c r="L28" s="21">
        <f t="shared" si="20"/>
        <v>2926.5934615384613</v>
      </c>
      <c r="M28" s="21">
        <f t="shared" si="20"/>
        <v>2926.5934615384613</v>
      </c>
      <c r="N28" s="21">
        <f t="shared" si="20"/>
        <v>2926.5934615384613</v>
      </c>
      <c r="O28" s="21">
        <f t="shared" si="20"/>
        <v>2926.5934615384613</v>
      </c>
      <c r="P28" s="21">
        <f t="shared" si="20"/>
        <v>2926.5934615384613</v>
      </c>
      <c r="Q28" s="21">
        <f t="shared" si="20"/>
        <v>2926.5934615384613</v>
      </c>
      <c r="R28" s="21">
        <f t="shared" si="20"/>
        <v>2926.5934615384613</v>
      </c>
      <c r="S28" s="21">
        <f t="shared" si="20"/>
        <v>2926.5934615384613</v>
      </c>
      <c r="T28" s="21">
        <f t="shared" si="20"/>
        <v>2926.5934615384613</v>
      </c>
      <c r="U28" s="21">
        <f t="shared" si="20"/>
        <v>2926.5934615384613</v>
      </c>
      <c r="V28" s="21">
        <f t="shared" si="20"/>
        <v>2926.5934615384613</v>
      </c>
      <c r="W28" s="21">
        <f t="shared" si="20"/>
        <v>2926.5934615384613</v>
      </c>
      <c r="X28" s="21">
        <f t="shared" si="20"/>
        <v>2926.5934615384613</v>
      </c>
      <c r="Y28" s="21">
        <f t="shared" si="20"/>
        <v>2926.5934615384613</v>
      </c>
      <c r="Z28" s="21">
        <f t="shared" si="20"/>
        <v>2926.5934615384613</v>
      </c>
      <c r="AA28" s="21">
        <f t="shared" si="20"/>
        <v>2926.5934615384613</v>
      </c>
      <c r="AB28" s="21">
        <f t="shared" si="20"/>
        <v>2926.5934615384613</v>
      </c>
      <c r="AC28" s="21">
        <f>+D28/10*8</f>
        <v>2341.274769230769</v>
      </c>
      <c r="AD28" s="21">
        <v>0</v>
      </c>
      <c r="AE28" s="21">
        <f t="shared" si="20"/>
        <v>0</v>
      </c>
      <c r="AF28" s="21">
        <f t="shared" si="20"/>
        <v>0</v>
      </c>
      <c r="AG28" s="21">
        <f t="shared" si="3"/>
        <v>29265.934615384613</v>
      </c>
      <c r="AH28" s="21">
        <f t="shared" si="4"/>
        <v>0</v>
      </c>
      <c r="AM28" t="s">
        <v>127</v>
      </c>
    </row>
    <row r="29" spans="1:34" ht="14.25">
      <c r="A29" s="19" t="s">
        <v>130</v>
      </c>
      <c r="B29" s="20" t="s">
        <v>61</v>
      </c>
      <c r="C29" s="21">
        <v>69015</v>
      </c>
      <c r="D29" s="21">
        <f>C29/26</f>
        <v>2654.423076923077</v>
      </c>
      <c r="E29" s="19" t="s">
        <v>47</v>
      </c>
      <c r="F29" s="19" t="s">
        <v>126</v>
      </c>
      <c r="G29" s="21">
        <f>+D29</f>
        <v>2654.423076923077</v>
      </c>
      <c r="H29" s="21">
        <f aca="true" t="shared" si="21" ref="H29:AB29">+G29</f>
        <v>2654.423076923077</v>
      </c>
      <c r="I29" s="21">
        <f t="shared" si="21"/>
        <v>2654.423076923077</v>
      </c>
      <c r="J29" s="21">
        <f t="shared" si="21"/>
        <v>2654.423076923077</v>
      </c>
      <c r="K29" s="21">
        <f t="shared" si="21"/>
        <v>2654.423076923077</v>
      </c>
      <c r="L29" s="21">
        <f t="shared" si="21"/>
        <v>2654.423076923077</v>
      </c>
      <c r="M29" s="21">
        <f t="shared" si="21"/>
        <v>2654.423076923077</v>
      </c>
      <c r="N29" s="21">
        <f t="shared" si="21"/>
        <v>2654.423076923077</v>
      </c>
      <c r="O29" s="21">
        <f t="shared" si="21"/>
        <v>2654.423076923077</v>
      </c>
      <c r="P29" s="21">
        <f t="shared" si="21"/>
        <v>2654.423076923077</v>
      </c>
      <c r="Q29" s="21">
        <f t="shared" si="21"/>
        <v>2654.423076923077</v>
      </c>
      <c r="R29" s="21">
        <f t="shared" si="21"/>
        <v>2654.423076923077</v>
      </c>
      <c r="S29" s="21">
        <f t="shared" si="21"/>
        <v>2654.423076923077</v>
      </c>
      <c r="T29" s="21">
        <f t="shared" si="21"/>
        <v>2654.423076923077</v>
      </c>
      <c r="U29" s="21">
        <f t="shared" si="21"/>
        <v>2654.423076923077</v>
      </c>
      <c r="V29" s="21">
        <f t="shared" si="21"/>
        <v>2654.423076923077</v>
      </c>
      <c r="W29" s="21">
        <f t="shared" si="21"/>
        <v>2654.423076923077</v>
      </c>
      <c r="X29" s="21">
        <f t="shared" si="21"/>
        <v>2654.423076923077</v>
      </c>
      <c r="Y29" s="21">
        <f t="shared" si="21"/>
        <v>2654.423076923077</v>
      </c>
      <c r="Z29" s="21">
        <f t="shared" si="21"/>
        <v>2654.423076923077</v>
      </c>
      <c r="AA29" s="21">
        <f t="shared" si="21"/>
        <v>2654.423076923077</v>
      </c>
      <c r="AB29" s="21">
        <f t="shared" si="21"/>
        <v>2654.423076923077</v>
      </c>
      <c r="AC29" s="21"/>
      <c r="AD29" s="21"/>
      <c r="AE29" s="21"/>
      <c r="AF29" s="21"/>
      <c r="AG29" s="21">
        <f>SUM(G29:P29)</f>
        <v>26544.230769230777</v>
      </c>
      <c r="AH29" s="21">
        <f t="shared" si="4"/>
        <v>0</v>
      </c>
    </row>
    <row r="30" spans="1:39" ht="14.25">
      <c r="A30" s="22" t="s">
        <v>37</v>
      </c>
      <c r="B30" s="23">
        <v>12723</v>
      </c>
      <c r="C30" s="24">
        <v>45361</v>
      </c>
      <c r="D30" s="24">
        <f t="shared" si="19"/>
        <v>1744.6538461538462</v>
      </c>
      <c r="E30" s="22" t="s">
        <v>68</v>
      </c>
      <c r="F30" s="22" t="s">
        <v>122</v>
      </c>
      <c r="G30" s="24">
        <f t="shared" si="17"/>
        <v>1744.6538461538462</v>
      </c>
      <c r="H30" s="24">
        <f aca="true" t="shared" si="22" ref="H30:AF30">+G30</f>
        <v>1744.6538461538462</v>
      </c>
      <c r="I30" s="24">
        <f t="shared" si="22"/>
        <v>1744.6538461538462</v>
      </c>
      <c r="J30" s="24">
        <f t="shared" si="22"/>
        <v>1744.6538461538462</v>
      </c>
      <c r="K30" s="24">
        <f t="shared" si="22"/>
        <v>1744.6538461538462</v>
      </c>
      <c r="L30" s="24">
        <f t="shared" si="22"/>
        <v>1744.6538461538462</v>
      </c>
      <c r="M30" s="24">
        <f t="shared" si="22"/>
        <v>1744.6538461538462</v>
      </c>
      <c r="N30" s="24">
        <f t="shared" si="22"/>
        <v>1744.6538461538462</v>
      </c>
      <c r="O30" s="24">
        <f t="shared" si="22"/>
        <v>1744.6538461538462</v>
      </c>
      <c r="P30" s="24">
        <f t="shared" si="22"/>
        <v>1744.6538461538462</v>
      </c>
      <c r="Q30" s="24">
        <f t="shared" si="22"/>
        <v>1744.6538461538462</v>
      </c>
      <c r="R30" s="24">
        <f t="shared" si="22"/>
        <v>1744.6538461538462</v>
      </c>
      <c r="S30" s="24">
        <f t="shared" si="22"/>
        <v>1744.6538461538462</v>
      </c>
      <c r="T30" s="24">
        <f t="shared" si="22"/>
        <v>1744.6538461538462</v>
      </c>
      <c r="U30" s="24">
        <f t="shared" si="22"/>
        <v>1744.6538461538462</v>
      </c>
      <c r="V30" s="24">
        <f t="shared" si="22"/>
        <v>1744.6538461538462</v>
      </c>
      <c r="W30" s="24">
        <f>(+V30/10*6)+(45361/26/10*4)</f>
        <v>1744.653846153846</v>
      </c>
      <c r="X30" s="24">
        <f>45361/26</f>
        <v>1744.6538461538462</v>
      </c>
      <c r="Y30" s="24">
        <f t="shared" si="22"/>
        <v>1744.6538461538462</v>
      </c>
      <c r="Z30" s="24">
        <f t="shared" si="22"/>
        <v>1744.6538461538462</v>
      </c>
      <c r="AA30" s="24">
        <f t="shared" si="22"/>
        <v>1744.6538461538462</v>
      </c>
      <c r="AB30" s="24">
        <f t="shared" si="22"/>
        <v>1744.6538461538462</v>
      </c>
      <c r="AC30" s="24">
        <f t="shared" si="22"/>
        <v>1744.6538461538462</v>
      </c>
      <c r="AD30" s="24">
        <f t="shared" si="22"/>
        <v>1744.6538461538462</v>
      </c>
      <c r="AE30" s="24">
        <f t="shared" si="22"/>
        <v>1744.6538461538462</v>
      </c>
      <c r="AF30" s="24">
        <f t="shared" si="22"/>
        <v>1744.6538461538462</v>
      </c>
      <c r="AG30" s="24">
        <f t="shared" si="3"/>
        <v>17446.53846153846</v>
      </c>
      <c r="AH30" s="24">
        <f t="shared" si="4"/>
        <v>5233.961538461539</v>
      </c>
      <c r="AM30" s="39"/>
    </row>
    <row r="31" spans="1:34" ht="14.25">
      <c r="A31" s="19" t="s">
        <v>106</v>
      </c>
      <c r="B31" s="20">
        <v>12734</v>
      </c>
      <c r="C31" s="21">
        <v>54856</v>
      </c>
      <c r="D31" s="21">
        <f t="shared" si="19"/>
        <v>2109.846153846154</v>
      </c>
      <c r="E31" s="19" t="s">
        <v>54</v>
      </c>
      <c r="F31" s="19" t="s">
        <v>107</v>
      </c>
      <c r="G31" s="21">
        <f t="shared" si="17"/>
        <v>2109.846153846154</v>
      </c>
      <c r="H31" s="21">
        <f aca="true" t="shared" si="23" ref="H31:AF31">+G31</f>
        <v>2109.846153846154</v>
      </c>
      <c r="I31" s="21">
        <f t="shared" si="23"/>
        <v>2109.846153846154</v>
      </c>
      <c r="J31" s="21">
        <f t="shared" si="23"/>
        <v>2109.846153846154</v>
      </c>
      <c r="K31" s="21">
        <f t="shared" si="23"/>
        <v>2109.846153846154</v>
      </c>
      <c r="L31" s="21">
        <f t="shared" si="23"/>
        <v>2109.846153846154</v>
      </c>
      <c r="M31" s="21">
        <f>(+L31/10*6)</f>
        <v>1265.9076923076923</v>
      </c>
      <c r="N31" s="21" t="s">
        <v>100</v>
      </c>
      <c r="O31" s="21" t="str">
        <f t="shared" si="23"/>
        <v> </v>
      </c>
      <c r="P31" s="21" t="str">
        <f t="shared" si="23"/>
        <v> </v>
      </c>
      <c r="Q31" s="21" t="str">
        <f t="shared" si="23"/>
        <v> </v>
      </c>
      <c r="R31" s="21" t="str">
        <f t="shared" si="23"/>
        <v> </v>
      </c>
      <c r="S31" s="21" t="str">
        <f t="shared" si="23"/>
        <v> </v>
      </c>
      <c r="T31" s="21" t="str">
        <f t="shared" si="23"/>
        <v> </v>
      </c>
      <c r="U31" s="21">
        <f>+D31</f>
        <v>2109.846153846154</v>
      </c>
      <c r="V31" s="21">
        <f t="shared" si="23"/>
        <v>2109.846153846154</v>
      </c>
      <c r="W31" s="21">
        <f t="shared" si="23"/>
        <v>2109.846153846154</v>
      </c>
      <c r="X31" s="21">
        <f t="shared" si="23"/>
        <v>2109.846153846154</v>
      </c>
      <c r="Y31" s="21">
        <f t="shared" si="23"/>
        <v>2109.846153846154</v>
      </c>
      <c r="Z31" s="21">
        <f t="shared" si="23"/>
        <v>2109.846153846154</v>
      </c>
      <c r="AA31" s="21">
        <f t="shared" si="23"/>
        <v>2109.846153846154</v>
      </c>
      <c r="AB31" s="21">
        <f t="shared" si="23"/>
        <v>2109.846153846154</v>
      </c>
      <c r="AC31" s="21">
        <f t="shared" si="23"/>
        <v>2109.846153846154</v>
      </c>
      <c r="AD31" s="21">
        <f t="shared" si="23"/>
        <v>2109.846153846154</v>
      </c>
      <c r="AE31" s="21">
        <f t="shared" si="23"/>
        <v>2109.846153846154</v>
      </c>
      <c r="AF31" s="21">
        <f t="shared" si="23"/>
        <v>2109.846153846154</v>
      </c>
      <c r="AG31" s="21">
        <f t="shared" si="3"/>
        <v>13924.984615384616</v>
      </c>
      <c r="AH31" s="21">
        <f t="shared" si="4"/>
        <v>6329.538461538461</v>
      </c>
    </row>
    <row r="32" spans="1:36" ht="14.25">
      <c r="A32" s="22" t="s">
        <v>45</v>
      </c>
      <c r="B32" s="23" t="s">
        <v>76</v>
      </c>
      <c r="C32" s="24">
        <v>40440</v>
      </c>
      <c r="D32" s="24">
        <f>C32/26</f>
        <v>1555.3846153846155</v>
      </c>
      <c r="E32" s="22" t="s">
        <v>52</v>
      </c>
      <c r="F32" s="22" t="s">
        <v>123</v>
      </c>
      <c r="G32" s="24">
        <f t="shared" si="17"/>
        <v>1555.3846153846155</v>
      </c>
      <c r="H32" s="24">
        <f aca="true" t="shared" si="24" ref="H32:AF32">+G32</f>
        <v>1555.3846153846155</v>
      </c>
      <c r="I32" s="24">
        <f t="shared" si="24"/>
        <v>1555.3846153846155</v>
      </c>
      <c r="J32" s="24">
        <f t="shared" si="24"/>
        <v>1555.3846153846155</v>
      </c>
      <c r="K32" s="24">
        <f t="shared" si="24"/>
        <v>1555.3846153846155</v>
      </c>
      <c r="L32" s="24">
        <f t="shared" si="24"/>
        <v>1555.3846153846155</v>
      </c>
      <c r="M32" s="24">
        <f t="shared" si="24"/>
        <v>1555.3846153846155</v>
      </c>
      <c r="N32" s="24">
        <f t="shared" si="24"/>
        <v>1555.3846153846155</v>
      </c>
      <c r="O32" s="24">
        <f t="shared" si="24"/>
        <v>1555.3846153846155</v>
      </c>
      <c r="P32" s="24">
        <f t="shared" si="24"/>
        <v>1555.3846153846155</v>
      </c>
      <c r="Q32" s="24">
        <f t="shared" si="24"/>
        <v>1555.3846153846155</v>
      </c>
      <c r="R32" s="24">
        <f t="shared" si="24"/>
        <v>1555.3846153846155</v>
      </c>
      <c r="S32" s="24">
        <f t="shared" si="24"/>
        <v>1555.3846153846155</v>
      </c>
      <c r="T32" s="24">
        <f t="shared" si="24"/>
        <v>1555.3846153846155</v>
      </c>
      <c r="U32" s="24">
        <f t="shared" si="24"/>
        <v>1555.3846153846155</v>
      </c>
      <c r="V32" s="24">
        <f t="shared" si="24"/>
        <v>1555.3846153846155</v>
      </c>
      <c r="W32" s="24">
        <f t="shared" si="24"/>
        <v>1555.3846153846155</v>
      </c>
      <c r="X32" s="24">
        <f t="shared" si="24"/>
        <v>1555.3846153846155</v>
      </c>
      <c r="Y32" s="24">
        <f t="shared" si="24"/>
        <v>1555.3846153846155</v>
      </c>
      <c r="Z32" s="24">
        <f t="shared" si="24"/>
        <v>1555.3846153846155</v>
      </c>
      <c r="AA32" s="24">
        <f t="shared" si="24"/>
        <v>1555.3846153846155</v>
      </c>
      <c r="AB32" s="24">
        <f t="shared" si="24"/>
        <v>1555.3846153846155</v>
      </c>
      <c r="AC32" s="24">
        <f>(+AB32/10*3)+(40440/26/10*7)</f>
        <v>1555.3846153846157</v>
      </c>
      <c r="AD32" s="24">
        <f>40440/26</f>
        <v>1555.3846153846155</v>
      </c>
      <c r="AE32" s="24">
        <f t="shared" si="24"/>
        <v>1555.3846153846155</v>
      </c>
      <c r="AF32" s="24">
        <f t="shared" si="24"/>
        <v>1555.3846153846155</v>
      </c>
      <c r="AG32" s="24">
        <f t="shared" si="3"/>
        <v>15553.846153846154</v>
      </c>
      <c r="AH32" s="24">
        <f t="shared" si="4"/>
        <v>4666.153846153847</v>
      </c>
      <c r="AI32" s="13">
        <f>SUM(AH10:AH33)</f>
        <v>145425.85384615386</v>
      </c>
      <c r="AJ32" t="s">
        <v>87</v>
      </c>
    </row>
    <row r="33" spans="1:34" ht="14.25">
      <c r="A33" s="19" t="s">
        <v>43</v>
      </c>
      <c r="B33" s="20">
        <v>47777</v>
      </c>
      <c r="C33" s="21">
        <v>50108</v>
      </c>
      <c r="D33" s="21">
        <f t="shared" si="19"/>
        <v>1927.2307692307693</v>
      </c>
      <c r="E33" s="19" t="s">
        <v>58</v>
      </c>
      <c r="F33" s="19" t="s">
        <v>79</v>
      </c>
      <c r="G33" s="21">
        <f t="shared" si="17"/>
        <v>1927.2307692307693</v>
      </c>
      <c r="H33" s="21">
        <f aca="true" t="shared" si="25" ref="H33:AF36">+G33</f>
        <v>1927.2307692307693</v>
      </c>
      <c r="I33" s="21">
        <f t="shared" si="25"/>
        <v>1927.2307692307693</v>
      </c>
      <c r="J33" s="21">
        <f t="shared" si="25"/>
        <v>1927.2307692307693</v>
      </c>
      <c r="K33" s="21">
        <f t="shared" si="25"/>
        <v>1927.2307692307693</v>
      </c>
      <c r="L33" s="21">
        <f t="shared" si="25"/>
        <v>1927.2307692307693</v>
      </c>
      <c r="M33" s="21">
        <f t="shared" si="25"/>
        <v>1927.2307692307693</v>
      </c>
      <c r="N33" s="21">
        <f t="shared" si="25"/>
        <v>1927.2307692307693</v>
      </c>
      <c r="O33" s="21">
        <f t="shared" si="25"/>
        <v>1927.2307692307693</v>
      </c>
      <c r="P33" s="21">
        <f t="shared" si="25"/>
        <v>1927.2307692307693</v>
      </c>
      <c r="Q33" s="21">
        <f t="shared" si="25"/>
        <v>1927.2307692307693</v>
      </c>
      <c r="R33" s="21">
        <f t="shared" si="25"/>
        <v>1927.2307692307693</v>
      </c>
      <c r="S33" s="21">
        <f t="shared" si="25"/>
        <v>1927.2307692307693</v>
      </c>
      <c r="T33" s="21">
        <f t="shared" si="25"/>
        <v>1927.2307692307693</v>
      </c>
      <c r="U33" s="21">
        <f t="shared" si="25"/>
        <v>1927.2307692307693</v>
      </c>
      <c r="V33" s="21">
        <f t="shared" si="25"/>
        <v>1927.2307692307693</v>
      </c>
      <c r="W33" s="21">
        <f t="shared" si="25"/>
        <v>1927.2307692307693</v>
      </c>
      <c r="X33" s="21">
        <f t="shared" si="25"/>
        <v>1927.2307692307693</v>
      </c>
      <c r="Y33" s="21">
        <f>(+X33/10*3)+(50108/26/10*7)</f>
        <v>1927.2307692307693</v>
      </c>
      <c r="Z33" s="21">
        <f>50108/26</f>
        <v>1927.2307692307693</v>
      </c>
      <c r="AA33" s="21">
        <f t="shared" si="25"/>
        <v>1927.2307692307693</v>
      </c>
      <c r="AB33" s="21">
        <f t="shared" si="25"/>
        <v>1927.2307692307693</v>
      </c>
      <c r="AC33" s="21">
        <f t="shared" si="25"/>
        <v>1927.2307692307693</v>
      </c>
      <c r="AD33" s="21">
        <f t="shared" si="25"/>
        <v>1927.2307692307693</v>
      </c>
      <c r="AE33" s="21">
        <f t="shared" si="25"/>
        <v>1927.2307692307693</v>
      </c>
      <c r="AF33" s="21">
        <f t="shared" si="25"/>
        <v>1927.2307692307693</v>
      </c>
      <c r="AG33" s="21">
        <f t="shared" si="3"/>
        <v>19272.30769230769</v>
      </c>
      <c r="AH33" s="21">
        <f t="shared" si="4"/>
        <v>5781.692307692308</v>
      </c>
    </row>
    <row r="34" spans="1:34" ht="14.25">
      <c r="A34" s="22" t="s">
        <v>98</v>
      </c>
      <c r="B34" s="23" t="s">
        <v>82</v>
      </c>
      <c r="C34" s="24">
        <v>63693</v>
      </c>
      <c r="D34" s="24">
        <f t="shared" si="19"/>
        <v>2449.730769230769</v>
      </c>
      <c r="E34" s="22" t="s">
        <v>83</v>
      </c>
      <c r="F34" s="22" t="s">
        <v>148</v>
      </c>
      <c r="G34" s="24">
        <v>2262.4</v>
      </c>
      <c r="H34" s="24">
        <v>2262.4</v>
      </c>
      <c r="I34" s="24">
        <v>2262.45</v>
      </c>
      <c r="J34" s="24">
        <v>2262.4</v>
      </c>
      <c r="K34" s="24">
        <f>+J34</f>
        <v>2262.4</v>
      </c>
      <c r="L34" s="24">
        <f>+K34</f>
        <v>2262.4</v>
      </c>
      <c r="M34" s="24">
        <f>+L34</f>
        <v>2262.4</v>
      </c>
      <c r="N34" s="24">
        <f>+M34</f>
        <v>2262.4</v>
      </c>
      <c r="O34" s="24">
        <f>+N34</f>
        <v>2262.4</v>
      </c>
      <c r="P34" s="24">
        <f>+D34</f>
        <v>2449.730769230769</v>
      </c>
      <c r="Q34" s="24">
        <f t="shared" si="25"/>
        <v>2449.730769230769</v>
      </c>
      <c r="R34" s="24">
        <f t="shared" si="25"/>
        <v>2449.730769230769</v>
      </c>
      <c r="S34" s="24">
        <f t="shared" si="25"/>
        <v>2449.730769230769</v>
      </c>
      <c r="T34" s="24">
        <f t="shared" si="25"/>
        <v>2449.730769230769</v>
      </c>
      <c r="U34" s="24">
        <f t="shared" si="25"/>
        <v>2449.730769230769</v>
      </c>
      <c r="V34" s="24">
        <f t="shared" si="25"/>
        <v>2449.730769230769</v>
      </c>
      <c r="W34" s="24">
        <f t="shared" si="25"/>
        <v>2449.730769230769</v>
      </c>
      <c r="X34" s="24">
        <f t="shared" si="25"/>
        <v>2449.730769230769</v>
      </c>
      <c r="Y34" s="24">
        <f t="shared" si="25"/>
        <v>2449.730769230769</v>
      </c>
      <c r="Z34" s="24">
        <f t="shared" si="25"/>
        <v>2449.730769230769</v>
      </c>
      <c r="AA34" s="24">
        <f t="shared" si="25"/>
        <v>2449.730769230769</v>
      </c>
      <c r="AB34" s="24">
        <f>(+AA34/10*2)+(63693/26/10*8)</f>
        <v>2449.730769230769</v>
      </c>
      <c r="AC34" s="24">
        <f>63693/26</f>
        <v>2449.730769230769</v>
      </c>
      <c r="AD34" s="24">
        <f t="shared" si="25"/>
        <v>2449.730769230769</v>
      </c>
      <c r="AE34" s="24">
        <f t="shared" si="25"/>
        <v>2449.730769230769</v>
      </c>
      <c r="AF34" s="24">
        <f t="shared" si="25"/>
        <v>2449.730769230769</v>
      </c>
      <c r="AG34" s="24">
        <f>SUM(G34:P34)</f>
        <v>22811.38076923077</v>
      </c>
      <c r="AH34" s="24">
        <f t="shared" si="4"/>
        <v>7349.192307692307</v>
      </c>
    </row>
    <row r="35" spans="1:34" ht="14.25">
      <c r="A35" s="19" t="s">
        <v>109</v>
      </c>
      <c r="B35" s="20">
        <v>12730</v>
      </c>
      <c r="C35" s="21">
        <v>51690</v>
      </c>
      <c r="D35" s="21">
        <f t="shared" si="19"/>
        <v>1988.076923076923</v>
      </c>
      <c r="E35" s="19" t="s">
        <v>111</v>
      </c>
      <c r="F35" s="19" t="s">
        <v>112</v>
      </c>
      <c r="G35" s="21"/>
      <c r="H35" s="21"/>
      <c r="I35" s="21"/>
      <c r="J35" s="21"/>
      <c r="K35" s="21"/>
      <c r="L35" s="21"/>
      <c r="M35" s="21">
        <f>+D35/10*7</f>
        <v>1391.6538461538462</v>
      </c>
      <c r="N35" s="21">
        <f>+D35</f>
        <v>1988.076923076923</v>
      </c>
      <c r="O35" s="21">
        <f>+N35</f>
        <v>1988.076923076923</v>
      </c>
      <c r="P35" s="21">
        <f t="shared" si="25"/>
        <v>1988.076923076923</v>
      </c>
      <c r="Q35" s="21"/>
      <c r="R35" s="21">
        <f t="shared" si="25"/>
        <v>0</v>
      </c>
      <c r="S35" s="21">
        <f t="shared" si="25"/>
        <v>0</v>
      </c>
      <c r="T35" s="21">
        <f t="shared" si="25"/>
        <v>0</v>
      </c>
      <c r="U35" s="21">
        <f t="shared" si="25"/>
        <v>0</v>
      </c>
      <c r="V35" s="21">
        <f t="shared" si="25"/>
        <v>0</v>
      </c>
      <c r="W35" s="21">
        <f t="shared" si="25"/>
        <v>0</v>
      </c>
      <c r="X35" s="21">
        <f t="shared" si="25"/>
        <v>0</v>
      </c>
      <c r="Y35" s="21">
        <f t="shared" si="25"/>
        <v>0</v>
      </c>
      <c r="Z35" s="21">
        <f t="shared" si="25"/>
        <v>0</v>
      </c>
      <c r="AA35" s="21">
        <f t="shared" si="25"/>
        <v>0</v>
      </c>
      <c r="AB35" s="21">
        <f>+D35/10*2</f>
        <v>397.61538461538464</v>
      </c>
      <c r="AC35" s="21">
        <f>+D35</f>
        <v>1988.076923076923</v>
      </c>
      <c r="AD35" s="21">
        <f t="shared" si="25"/>
        <v>1988.076923076923</v>
      </c>
      <c r="AE35" s="21">
        <f t="shared" si="25"/>
        <v>1988.076923076923</v>
      </c>
      <c r="AF35" s="21">
        <f t="shared" si="25"/>
        <v>1988.076923076923</v>
      </c>
      <c r="AG35" s="21">
        <f t="shared" si="3"/>
        <v>7355.884615384615</v>
      </c>
      <c r="AH35" s="21">
        <f t="shared" si="4"/>
        <v>5964.2307692307695</v>
      </c>
    </row>
    <row r="36" spans="1:34" ht="27">
      <c r="A36" s="22" t="s">
        <v>108</v>
      </c>
      <c r="B36" s="23" t="s">
        <v>84</v>
      </c>
      <c r="C36" s="24">
        <v>55023</v>
      </c>
      <c r="D36" s="24">
        <f t="shared" si="19"/>
        <v>2116.269230769231</v>
      </c>
      <c r="E36" s="22" t="s">
        <v>132</v>
      </c>
      <c r="F36" s="22" t="s">
        <v>117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>
        <f>+D36</f>
        <v>2116.269230769231</v>
      </c>
      <c r="R36" s="24">
        <f t="shared" si="25"/>
        <v>2116.269230769231</v>
      </c>
      <c r="S36" s="24">
        <f t="shared" si="25"/>
        <v>2116.269230769231</v>
      </c>
      <c r="T36" s="24">
        <f t="shared" si="25"/>
        <v>2116.269230769231</v>
      </c>
      <c r="U36" s="24">
        <f t="shared" si="25"/>
        <v>2116.269230769231</v>
      </c>
      <c r="V36" s="24">
        <f t="shared" si="25"/>
        <v>2116.269230769231</v>
      </c>
      <c r="W36" s="24">
        <f t="shared" si="25"/>
        <v>2116.269230769231</v>
      </c>
      <c r="X36" s="24">
        <f t="shared" si="25"/>
        <v>2116.269230769231</v>
      </c>
      <c r="Y36" s="24">
        <f t="shared" si="25"/>
        <v>2116.269230769231</v>
      </c>
      <c r="Z36" s="24">
        <f t="shared" si="25"/>
        <v>2116.269230769231</v>
      </c>
      <c r="AA36" s="24">
        <f t="shared" si="25"/>
        <v>2116.269230769231</v>
      </c>
      <c r="AB36" s="24">
        <f t="shared" si="25"/>
        <v>2116.269230769231</v>
      </c>
      <c r="AC36" s="24">
        <f t="shared" si="25"/>
        <v>2116.269230769231</v>
      </c>
      <c r="AD36" s="24">
        <f t="shared" si="25"/>
        <v>2116.269230769231</v>
      </c>
      <c r="AE36" s="24">
        <f t="shared" si="25"/>
        <v>2116.269230769231</v>
      </c>
      <c r="AF36" s="24">
        <f t="shared" si="25"/>
        <v>2116.269230769231</v>
      </c>
      <c r="AG36" s="24">
        <f t="shared" si="3"/>
        <v>0</v>
      </c>
      <c r="AH36" s="24">
        <f t="shared" si="4"/>
        <v>6348.807692307693</v>
      </c>
    </row>
    <row r="37" spans="1:34" ht="14.25">
      <c r="A37" s="19" t="s">
        <v>110</v>
      </c>
      <c r="B37" s="20">
        <v>12731</v>
      </c>
      <c r="C37" s="21"/>
      <c r="D37" s="21">
        <f t="shared" si="19"/>
        <v>0</v>
      </c>
      <c r="E37" s="19" t="s">
        <v>131</v>
      </c>
      <c r="F37" s="19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>
        <f>SUM(G37:P37)</f>
        <v>0</v>
      </c>
      <c r="AH37" s="21"/>
    </row>
    <row r="38" spans="32:36" ht="15" thickBot="1">
      <c r="AF38" t="s">
        <v>91</v>
      </c>
      <c r="AG38" s="27">
        <f>SUM(AG10:AG37)</f>
        <v>586989.5319230768</v>
      </c>
      <c r="AH38" s="27">
        <f>SUM(AH9:AH37)</f>
        <v>173442.96923076926</v>
      </c>
      <c r="AI38" s="18">
        <f>AI2-AI3-AI32</f>
        <v>1160967.146153846</v>
      </c>
      <c r="AJ38" s="12" t="s">
        <v>85</v>
      </c>
    </row>
    <row r="39" ht="12.75" customHeight="1" thickTop="1"/>
    <row r="40" spans="1:36" ht="15" customHeight="1">
      <c r="A40" s="43" t="s">
        <v>137</v>
      </c>
      <c r="B40" s="44">
        <v>260000</v>
      </c>
      <c r="C40" s="45" t="s">
        <v>138</v>
      </c>
      <c r="AF40" s="9" t="s">
        <v>92</v>
      </c>
      <c r="AH40" s="16">
        <v>1607300</v>
      </c>
      <c r="AJ40">
        <v>49712.09</v>
      </c>
    </row>
    <row r="41" spans="1:34" ht="15" customHeight="1">
      <c r="A41" s="46"/>
      <c r="B41" s="47">
        <v>126000</v>
      </c>
      <c r="C41" s="48" t="s">
        <v>139</v>
      </c>
      <c r="AF41" s="9" t="s">
        <v>113</v>
      </c>
      <c r="AH41" s="33">
        <v>346400</v>
      </c>
    </row>
    <row r="42" spans="1:34" ht="15" customHeight="1">
      <c r="A42" s="46"/>
      <c r="B42" s="47">
        <v>66000</v>
      </c>
      <c r="C42" s="48" t="s">
        <v>140</v>
      </c>
      <c r="AF42" s="9" t="s">
        <v>119</v>
      </c>
      <c r="AH42" s="16">
        <f>+AH40+AH41</f>
        <v>1953700</v>
      </c>
    </row>
    <row r="43" spans="1:34" ht="15" customHeight="1">
      <c r="A43" s="46"/>
      <c r="B43" s="54">
        <v>7900</v>
      </c>
      <c r="C43" s="48" t="s">
        <v>149</v>
      </c>
      <c r="AF43" s="9"/>
      <c r="AH43" s="16"/>
    </row>
    <row r="44" spans="1:36" ht="15" customHeight="1">
      <c r="A44" s="46"/>
      <c r="B44" s="47">
        <f>SUM(B40:B43)</f>
        <v>459900</v>
      </c>
      <c r="C44" s="48"/>
      <c r="AF44" s="9" t="s">
        <v>99</v>
      </c>
      <c r="AH44" s="11">
        <f>+AH5</f>
        <v>1622979.24</v>
      </c>
      <c r="AJ44" s="28">
        <v>8000</v>
      </c>
    </row>
    <row r="45" spans="1:36" ht="15" customHeight="1">
      <c r="A45" s="46"/>
      <c r="B45" s="49"/>
      <c r="C45" s="48"/>
      <c r="AF45" s="9" t="s">
        <v>95</v>
      </c>
      <c r="AH45" s="11">
        <f>+AH38</f>
        <v>173442.96923076926</v>
      </c>
      <c r="AJ45">
        <v>50060.17</v>
      </c>
    </row>
    <row r="46" spans="1:34" ht="15" customHeight="1">
      <c r="A46" s="46" t="s">
        <v>150</v>
      </c>
      <c r="B46" s="42">
        <f>+AH41</f>
        <v>346400</v>
      </c>
      <c r="C46" s="48"/>
      <c r="AF46" s="9" t="s">
        <v>114</v>
      </c>
      <c r="AH46" s="34">
        <v>126600</v>
      </c>
    </row>
    <row r="47" spans="1:34" ht="15" customHeight="1">
      <c r="A47" s="50" t="s">
        <v>141</v>
      </c>
      <c r="B47" s="51">
        <f>+B44-B46</f>
        <v>113500</v>
      </c>
      <c r="C47" s="52"/>
      <c r="AF47" s="9" t="s">
        <v>115</v>
      </c>
      <c r="AH47" s="34">
        <v>66100</v>
      </c>
    </row>
    <row r="48" spans="32:34" ht="15" customHeight="1">
      <c r="AF48" s="9" t="s">
        <v>135</v>
      </c>
      <c r="AH48" s="55">
        <v>7900</v>
      </c>
    </row>
    <row r="49" spans="1:34" ht="15" customHeight="1">
      <c r="A49" s="43" t="s">
        <v>143</v>
      </c>
      <c r="B49" s="44">
        <f>+AH40</f>
        <v>1607300</v>
      </c>
      <c r="C49" s="45"/>
      <c r="AF49" s="9" t="s">
        <v>146</v>
      </c>
      <c r="AH49" s="34">
        <f>+C25/26</f>
        <v>2697.153846153846</v>
      </c>
    </row>
    <row r="50" spans="1:34" ht="15" customHeight="1">
      <c r="A50" s="46" t="s">
        <v>142</v>
      </c>
      <c r="B50" s="42">
        <f>+AH5+AH38+AH46+AH47+AH48+AH49+AH50+AH51+81</f>
        <v>1996900.2530769228</v>
      </c>
      <c r="C50" s="48"/>
      <c r="AF50" s="9" t="s">
        <v>136</v>
      </c>
      <c r="AH50" s="34">
        <f>-1253.06-5623.05-24</f>
        <v>-6900.110000000001</v>
      </c>
    </row>
    <row r="51" spans="1:42" ht="15" customHeight="1">
      <c r="A51" s="50" t="s">
        <v>144</v>
      </c>
      <c r="B51" s="51">
        <f>+B49-B50</f>
        <v>-389600.25307692285</v>
      </c>
      <c r="C51" s="52"/>
      <c r="AF51" s="9" t="s">
        <v>147</v>
      </c>
      <c r="AH51" s="53">
        <v>4000</v>
      </c>
      <c r="AJ51">
        <v>12.55</v>
      </c>
      <c r="AP51" s="29"/>
    </row>
    <row r="52" spans="32:36" ht="15" thickBot="1">
      <c r="AF52" s="9" t="s">
        <v>93</v>
      </c>
      <c r="AH52" s="25">
        <f>AH42-AH44-AH45-AH46-AH47-AH48-AH49-AH50-AH51</f>
        <v>-43119.253076923094</v>
      </c>
      <c r="AJ52">
        <v>50060.17</v>
      </c>
    </row>
    <row r="53" spans="34:36" ht="15" thickTop="1">
      <c r="AH53" s="39"/>
      <c r="AJ53">
        <v>50151.12</v>
      </c>
    </row>
    <row r="54" spans="16:42" ht="14.25">
      <c r="P54" s="26"/>
      <c r="AJ54">
        <v>54585.79</v>
      </c>
      <c r="AP54" s="26"/>
    </row>
    <row r="55" spans="16:36" ht="14.25">
      <c r="P55" s="31"/>
      <c r="AH55" s="26"/>
      <c r="AJ55">
        <v>2262.4</v>
      </c>
    </row>
    <row r="56" ht="14.25">
      <c r="AJ56">
        <v>14226.13</v>
      </c>
    </row>
    <row r="57" spans="36:37" ht="14.25">
      <c r="AJ57">
        <v>6787.2</v>
      </c>
      <c r="AK57">
        <f>SUM(AJ40:AJ57)</f>
        <v>285857.62</v>
      </c>
    </row>
    <row r="58" ht="14.25">
      <c r="AK58">
        <f>AK57-329938.66</f>
        <v>-44081.03999999998</v>
      </c>
    </row>
    <row r="63" spans="35:36" ht="14.25">
      <c r="AI63" s="13" t="e">
        <f>AH44+#REF!+#REF!+#REF!</f>
        <v>#REF!</v>
      </c>
      <c r="AJ63" s="26" t="e">
        <f>329938.66-AI63</f>
        <v>#REF!</v>
      </c>
    </row>
  </sheetData>
  <sheetProtection/>
  <mergeCells count="1">
    <mergeCell ref="AJ3:AM4"/>
  </mergeCells>
  <printOptions/>
  <pageMargins left="0.2" right="0.2" top="0.25" bottom="0.25" header="0.3" footer="0.3"/>
  <pageSetup fitToHeight="1" fitToWidth="1" horizontalDpi="600" verticalDpi="600" orientation="landscape" scale="73" r:id="rId1"/>
  <colBreaks count="1" manualBreakCount="1">
    <brk id="34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30"/>
  <sheetViews>
    <sheetView tabSelected="1" view="pageBreakPreview" zoomScale="115" zoomScaleSheetLayoutView="115" workbookViewId="0" topLeftCell="A1">
      <selection activeCell="B5" sqref="B5"/>
    </sheetView>
  </sheetViews>
  <sheetFormatPr defaultColWidth="9.140625" defaultRowHeight="15"/>
  <cols>
    <col min="1" max="1" width="21.57421875" style="0" customWidth="1"/>
    <col min="2" max="2" width="37.00390625" style="0" customWidth="1"/>
    <col min="3" max="3" width="16.421875" style="0" customWidth="1"/>
  </cols>
  <sheetData>
    <row r="3" ht="24" customHeight="1">
      <c r="A3" s="17" t="s">
        <v>184</v>
      </c>
    </row>
    <row r="4" spans="1:3" ht="18">
      <c r="A4" s="58" t="s">
        <v>183</v>
      </c>
      <c r="C4" s="57" t="s">
        <v>100</v>
      </c>
    </row>
    <row r="5" spans="1:3" ht="18">
      <c r="A5" s="58"/>
      <c r="C5" s="57"/>
    </row>
    <row r="6" ht="14.25">
      <c r="C6" s="56" t="s">
        <v>100</v>
      </c>
    </row>
    <row r="8" spans="1:3" s="8" customFormat="1" ht="30.75" customHeight="1">
      <c r="A8" s="66" t="s">
        <v>0</v>
      </c>
      <c r="B8" s="67" t="s">
        <v>156</v>
      </c>
      <c r="C8" s="67" t="s">
        <v>158</v>
      </c>
    </row>
    <row r="9" spans="1:3" ht="21" customHeight="1">
      <c r="A9" s="59" t="s">
        <v>157</v>
      </c>
      <c r="B9" s="59" t="s">
        <v>51</v>
      </c>
      <c r="C9" s="65">
        <v>65168</v>
      </c>
    </row>
    <row r="10" spans="1:3" ht="21" customHeight="1">
      <c r="A10" s="59" t="s">
        <v>167</v>
      </c>
      <c r="B10" s="59" t="s">
        <v>155</v>
      </c>
      <c r="C10" s="65">
        <v>0</v>
      </c>
    </row>
    <row r="11" spans="1:3" ht="21" customHeight="1">
      <c r="A11" s="59" t="s">
        <v>176</v>
      </c>
      <c r="B11" s="59" t="s">
        <v>59</v>
      </c>
      <c r="C11" s="63">
        <v>147680</v>
      </c>
    </row>
    <row r="12" spans="1:3" ht="21" customHeight="1">
      <c r="A12" s="59" t="s">
        <v>110</v>
      </c>
      <c r="B12" s="59" t="s">
        <v>49</v>
      </c>
      <c r="C12" s="63" t="s">
        <v>100</v>
      </c>
    </row>
    <row r="13" spans="1:3" ht="21" customHeight="1">
      <c r="A13" s="59" t="s">
        <v>159</v>
      </c>
      <c r="B13" s="59" t="s">
        <v>162</v>
      </c>
      <c r="C13" s="63">
        <v>112719</v>
      </c>
    </row>
    <row r="14" spans="1:3" ht="21" customHeight="1">
      <c r="A14" s="60" t="s">
        <v>185</v>
      </c>
      <c r="B14" s="60" t="s">
        <v>81</v>
      </c>
      <c r="C14" s="63">
        <v>124281</v>
      </c>
    </row>
    <row r="15" spans="1:3" ht="21" customHeight="1">
      <c r="A15" s="60" t="s">
        <v>161</v>
      </c>
      <c r="B15" s="59" t="s">
        <v>163</v>
      </c>
      <c r="C15" s="63">
        <v>115474</v>
      </c>
    </row>
    <row r="16" spans="1:3" ht="21" customHeight="1">
      <c r="A16" s="62" t="s">
        <v>164</v>
      </c>
      <c r="B16" s="59" t="s">
        <v>151</v>
      </c>
      <c r="C16" s="63">
        <v>85864</v>
      </c>
    </row>
    <row r="17" spans="1:3" ht="21" customHeight="1">
      <c r="A17" s="60" t="s">
        <v>165</v>
      </c>
      <c r="B17" s="60" t="s">
        <v>166</v>
      </c>
      <c r="C17" s="63">
        <v>81776</v>
      </c>
    </row>
    <row r="18" spans="1:3" ht="21" customHeight="1">
      <c r="A18" s="60" t="s">
        <v>168</v>
      </c>
      <c r="B18" s="59" t="s">
        <v>153</v>
      </c>
      <c r="C18" s="63">
        <v>68456</v>
      </c>
    </row>
    <row r="19" spans="1:3" ht="21" customHeight="1">
      <c r="A19" s="60" t="s">
        <v>182</v>
      </c>
      <c r="B19" s="60" t="s">
        <v>186</v>
      </c>
      <c r="C19" s="63">
        <v>68456</v>
      </c>
    </row>
    <row r="20" spans="1:3" ht="21" customHeight="1">
      <c r="A20" s="60" t="s">
        <v>179</v>
      </c>
      <c r="B20" s="59" t="s">
        <v>173</v>
      </c>
      <c r="C20" s="63">
        <v>70170</v>
      </c>
    </row>
    <row r="21" spans="1:3" ht="21" customHeight="1">
      <c r="A21" s="60" t="s">
        <v>177</v>
      </c>
      <c r="B21" s="59" t="s">
        <v>178</v>
      </c>
      <c r="C21" s="63">
        <v>75468</v>
      </c>
    </row>
    <row r="22" spans="1:3" ht="21" customHeight="1">
      <c r="A22" s="60" t="s">
        <v>180</v>
      </c>
      <c r="B22" s="60" t="s">
        <v>181</v>
      </c>
      <c r="C22" s="64">
        <v>60700</v>
      </c>
    </row>
    <row r="23" spans="1:3" ht="23.25" customHeight="1">
      <c r="A23" s="60" t="s">
        <v>171</v>
      </c>
      <c r="B23" s="60" t="s">
        <v>172</v>
      </c>
      <c r="C23" s="63">
        <v>62547</v>
      </c>
    </row>
    <row r="24" spans="1:3" s="35" customFormat="1" ht="21.75" customHeight="1">
      <c r="A24" s="60" t="s">
        <v>160</v>
      </c>
      <c r="B24" s="60" t="s">
        <v>152</v>
      </c>
      <c r="C24" s="63">
        <v>60142</v>
      </c>
    </row>
    <row r="25" spans="1:3" s="35" customFormat="1" ht="21.75" customHeight="1">
      <c r="A25" s="60" t="s">
        <v>170</v>
      </c>
      <c r="B25" s="59" t="s">
        <v>154</v>
      </c>
      <c r="C25" s="63">
        <v>54127</v>
      </c>
    </row>
    <row r="26" spans="1:3" s="35" customFormat="1" ht="21.75" customHeight="1">
      <c r="A26" s="60" t="s">
        <v>174</v>
      </c>
      <c r="B26" s="59" t="s">
        <v>175</v>
      </c>
      <c r="C26" s="63">
        <v>50427</v>
      </c>
    </row>
    <row r="27" spans="1:3" s="35" customFormat="1" ht="19.5" customHeight="1">
      <c r="A27" s="60" t="s">
        <v>169</v>
      </c>
      <c r="B27" s="60" t="s">
        <v>52</v>
      </c>
      <c r="C27" s="63">
        <v>42618</v>
      </c>
    </row>
    <row r="28" s="35" customFormat="1" ht="22.5" customHeight="1"/>
    <row r="29" spans="1:3" ht="14.25">
      <c r="A29" s="61"/>
      <c r="C29" s="36"/>
    </row>
    <row r="30" ht="14.25">
      <c r="C30" s="36"/>
    </row>
    <row r="31" ht="24.75" customHeight="1"/>
    <row r="32" ht="24.75" customHeight="1"/>
    <row r="33" ht="24.75" customHeight="1"/>
    <row r="34" ht="24.75" customHeight="1"/>
    <row r="35" ht="38.25" customHeight="1"/>
  </sheetData>
  <sheetProtection/>
  <printOptions horizontalCentered="1"/>
  <pageMargins left="0.45" right="0.45" top="0.75" bottom="1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Newfoundland Labrador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Hayes, Robyn</dc:creator>
  <cp:keywords/>
  <dc:description/>
  <cp:lastModifiedBy>Tinkov, Renee</cp:lastModifiedBy>
  <cp:lastPrinted>2016-08-12T13:47:06Z</cp:lastPrinted>
  <dcterms:created xsi:type="dcterms:W3CDTF">2013-06-18T11:45:45Z</dcterms:created>
  <dcterms:modified xsi:type="dcterms:W3CDTF">2016-08-12T16:26:37Z</dcterms:modified>
  <cp:category/>
  <cp:version/>
  <cp:contentType/>
  <cp:contentStatus/>
</cp:coreProperties>
</file>